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CT 2020-2024\2024\NORMAS\RESOLUCIÓN 0549 DE 2015_ACTUALIZADA\VERSIÓN 241224\ANEXOS\ANEXO 3 - MECANISMO\"/>
    </mc:Choice>
  </mc:AlternateContent>
  <xr:revisionPtr revIDLastSave="0" documentId="8_{CD0547BF-CF4B-42D1-B6CF-270D8832527B}" xr6:coauthVersionLast="47" xr6:coauthVersionMax="47" xr10:uidLastSave="{00000000-0000-0000-0000-000000000000}"/>
  <workbookProtection workbookAlgorithmName="SHA-512" workbookHashValue="4dsfvYzkePRgUd+DjjAOYTO3acNzDo2dRhXSWEmfDwod4BUT9a9qhL0WhyijB1BBAxlGXVeBFzc1bZsP0veU3w==" workbookSaltValue="bjtoRTMA9gfI9XZIxGHoJA==" workbookSpinCount="100000" lockStructure="1"/>
  <bookViews>
    <workbookView xWindow="-120" yWindow="-120" windowWidth="20730" windowHeight="11040" activeTab="1" xr2:uid="{87EA1005-71ED-49C2-BC3C-2F7638772F84}"/>
  </bookViews>
  <sheets>
    <sheet name="Linea base" sheetId="1" r:id="rId1"/>
    <sheet name="Calculador " sheetId="2" r:id="rId2"/>
    <sheet name="Resumen " sheetId="3" r:id="rId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F5" i="2" l="1"/>
  <c r="N59" i="2" l="1"/>
  <c r="N60" i="2"/>
  <c r="N61" i="2"/>
  <c r="N62" i="2"/>
  <c r="N63" i="2"/>
  <c r="N58" i="2"/>
  <c r="M59" i="2"/>
  <c r="M60" i="2"/>
  <c r="M61" i="2"/>
  <c r="M62" i="2"/>
  <c r="M63" i="2"/>
  <c r="M58" i="2"/>
  <c r="L59" i="2"/>
  <c r="L60" i="2"/>
  <c r="L61" i="2"/>
  <c r="L62" i="2"/>
  <c r="L63" i="2"/>
  <c r="L58" i="2"/>
  <c r="J59" i="2"/>
  <c r="J60" i="2"/>
  <c r="J61" i="2"/>
  <c r="J62" i="2"/>
  <c r="J63" i="2"/>
  <c r="J58" i="2"/>
  <c r="F60" i="2"/>
  <c r="F61" i="2"/>
  <c r="F62" i="2"/>
  <c r="F63" i="2"/>
  <c r="F58" i="2"/>
  <c r="D60" i="2"/>
  <c r="D61" i="2"/>
  <c r="D62" i="2"/>
  <c r="D63" i="2"/>
  <c r="D58" i="2"/>
  <c r="N37" i="2"/>
  <c r="N38" i="2"/>
  <c r="N39" i="2"/>
  <c r="N40" i="2"/>
  <c r="N41" i="2"/>
  <c r="N36" i="2"/>
  <c r="M37" i="2"/>
  <c r="M38" i="2"/>
  <c r="M39" i="2"/>
  <c r="M40" i="2"/>
  <c r="M41" i="2"/>
  <c r="M36" i="2"/>
  <c r="L37" i="2"/>
  <c r="L38" i="2"/>
  <c r="L39" i="2"/>
  <c r="L40" i="2"/>
  <c r="L41" i="2"/>
  <c r="L36" i="2"/>
  <c r="F40" i="2"/>
  <c r="F41" i="2"/>
  <c r="F36" i="2"/>
  <c r="F37" i="2"/>
  <c r="F38" i="2"/>
  <c r="F39" i="2"/>
  <c r="J37" i="2"/>
  <c r="J38" i="2"/>
  <c r="J39" i="2"/>
  <c r="J40" i="2"/>
  <c r="J41" i="2"/>
  <c r="J36" i="2"/>
  <c r="D20" i="2" l="1"/>
  <c r="C5" i="2"/>
  <c r="E5" i="2" l="1"/>
  <c r="G5" i="2"/>
  <c r="H5" i="2"/>
  <c r="F6" i="2"/>
  <c r="G6" i="2"/>
  <c r="H6" i="2"/>
  <c r="C6" i="2"/>
  <c r="D5" i="2" l="1"/>
  <c r="J5" i="2" s="1"/>
  <c r="D6" i="2"/>
  <c r="K39" i="2"/>
  <c r="K58" i="2"/>
  <c r="Q58" i="2" s="1"/>
  <c r="K61" i="2"/>
  <c r="Q61" i="2" s="1"/>
  <c r="K36" i="2"/>
  <c r="K38" i="2"/>
  <c r="K60" i="2"/>
  <c r="Q60" i="2" s="1"/>
  <c r="K41" i="2"/>
  <c r="Q41" i="2" s="1"/>
  <c r="T41" i="2" s="1"/>
  <c r="K37" i="2"/>
  <c r="K63" i="2"/>
  <c r="Q63" i="2" s="1"/>
  <c r="K59" i="2"/>
  <c r="Q59" i="2" s="1"/>
  <c r="K40" i="2"/>
  <c r="K62" i="2"/>
  <c r="Q62" i="2" s="1"/>
  <c r="T63" i="2" l="1"/>
  <c r="S63" i="2"/>
  <c r="T62" i="2"/>
  <c r="S62" i="2"/>
  <c r="Q38" i="2"/>
  <c r="S38" i="2" s="1"/>
  <c r="T61" i="2"/>
  <c r="S61" i="2"/>
  <c r="T60" i="2"/>
  <c r="S60" i="2"/>
  <c r="T59" i="2"/>
  <c r="S59" i="2"/>
  <c r="S58" i="2"/>
  <c r="T58" i="2"/>
  <c r="Q40" i="2"/>
  <c r="T40" i="2" s="1"/>
  <c r="Q36" i="2"/>
  <c r="Q39" i="2"/>
  <c r="S39" i="2" s="1"/>
  <c r="J6" i="2"/>
  <c r="J20" i="2" s="1"/>
  <c r="S41" i="2"/>
  <c r="Q37" i="2"/>
  <c r="T38" i="2" l="1"/>
  <c r="S40" i="2"/>
  <c r="H64" i="2"/>
  <c r="C6" i="3" s="1"/>
  <c r="T39" i="2"/>
  <c r="H65" i="2"/>
  <c r="F6" i="3" s="1"/>
  <c r="J7" i="2"/>
  <c r="T36" i="2"/>
  <c r="S36" i="2"/>
  <c r="S37" i="2"/>
  <c r="T37" i="2"/>
  <c r="H42" i="2" l="1"/>
  <c r="B6" i="3" s="1"/>
  <c r="D6" i="3" s="1"/>
  <c r="G10" i="3" s="1"/>
  <c r="H43" i="2"/>
  <c r="E6" i="3" s="1"/>
  <c r="G6" i="3" s="1"/>
  <c r="G11" i="3" s="1"/>
  <c r="G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felipe rodriguez gordillo</author>
  </authors>
  <commentList>
    <comment ref="D10" authorId="0" shapeId="0" xr:uid="{B81A5352-72F2-400F-A3D0-AEF254BC29F5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Porcentaje de Orinales (Poner 100% si todos los baños de hombres tienen orinales, 0% si los baños de hombres no tienen orinales). </t>
        </r>
      </text>
    </comment>
    <comment ref="D14" authorId="0" shapeId="0" xr:uid="{71E0B6C7-7420-461F-9A61-7C03C56B3EA5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Colocar el número de dias que el proyecto es accesible a los empleados o TTC. (0 a 365) </t>
        </r>
      </text>
    </comment>
    <comment ref="J20" authorId="0" shapeId="0" xr:uid="{8FBA9FE8-BCF1-430E-ACE3-EF17532F2EA1}">
      <text>
        <r>
          <rPr>
            <b/>
            <sz val="9"/>
            <color indexed="81"/>
            <rFont val="Tahoma"/>
            <family val="2"/>
          </rPr>
          <t xml:space="preserve">Nota: 
</t>
        </r>
        <r>
          <rPr>
            <sz val="9"/>
            <color indexed="81"/>
            <rFont val="Tahoma"/>
            <family val="2"/>
          </rPr>
          <t>Se debe colocar este Valor ponderado en la casilla de consumo de sanitario en la tabla B.</t>
        </r>
      </text>
    </comment>
  </commentList>
</comments>
</file>

<file path=xl/sharedStrings.xml><?xml version="1.0" encoding="utf-8"?>
<sst xmlns="http://schemas.openxmlformats.org/spreadsheetml/2006/main" count="148" uniqueCount="105">
  <si>
    <t>Linea base Equipos Hidrosanitarios</t>
  </si>
  <si>
    <t>Ducha</t>
  </si>
  <si>
    <t xml:space="preserve">Ducha Residencial </t>
  </si>
  <si>
    <t xml:space="preserve">Grifo de Cocina Residencial </t>
  </si>
  <si>
    <t xml:space="preserve">Grifo de Cocina </t>
  </si>
  <si>
    <t xml:space="preserve">Lavamanos Público </t>
  </si>
  <si>
    <t xml:space="preserve">Linea Base de Cosumo </t>
  </si>
  <si>
    <t>S.I
(lpm)</t>
  </si>
  <si>
    <t>I.P
(gpm)</t>
  </si>
  <si>
    <t>lpm</t>
  </si>
  <si>
    <t xml:space="preserve">Litros por minuto </t>
  </si>
  <si>
    <t xml:space="preserve">Definiciones </t>
  </si>
  <si>
    <t>lpc</t>
  </si>
  <si>
    <t xml:space="preserve">Litros por ciclo </t>
  </si>
  <si>
    <t>gpm</t>
  </si>
  <si>
    <t>Galones por minuto</t>
  </si>
  <si>
    <t>gpc</t>
  </si>
  <si>
    <t xml:space="preserve">Galones por ciclo </t>
  </si>
  <si>
    <t>Lavamanos Público con Sensor (lpc)-(gpc)</t>
  </si>
  <si>
    <t xml:space="preserve">Lavamanos privado </t>
  </si>
  <si>
    <t>Duración
(s)</t>
  </si>
  <si>
    <t xml:space="preserve"> N/A</t>
  </si>
  <si>
    <t>Equipos de Descarga</t>
  </si>
  <si>
    <t>Sanitario (Hombres)</t>
  </si>
  <si>
    <t>Sanitario (Mujeres)</t>
  </si>
  <si>
    <t>Orinal</t>
  </si>
  <si>
    <t>lpd</t>
  </si>
  <si>
    <t>Litros por descarga</t>
  </si>
  <si>
    <t>gpd</t>
  </si>
  <si>
    <t>Galones por descarga</t>
  </si>
  <si>
    <t>S.I
(lpd)</t>
  </si>
  <si>
    <t>I.P
(gpd)</t>
  </si>
  <si>
    <t>Usos promedio por Dia</t>
  </si>
  <si>
    <t>Empleados (TPC)</t>
  </si>
  <si>
    <t>Empleados
 (TPC)</t>
  </si>
  <si>
    <t>Trabajadores de tiempo completo</t>
  </si>
  <si>
    <t>Visitantes</t>
  </si>
  <si>
    <t xml:space="preserve">Compradores Retail </t>
  </si>
  <si>
    <t>Estudiantes</t>
  </si>
  <si>
    <t xml:space="preserve">Residentes </t>
  </si>
  <si>
    <t xml:space="preserve">Hombre </t>
  </si>
  <si>
    <t>Mujer</t>
  </si>
  <si>
    <t xml:space="preserve">Ocupación </t>
  </si>
  <si>
    <t>Compradores Retail</t>
  </si>
  <si>
    <t>Residencial</t>
  </si>
  <si>
    <t xml:space="preserve">Porcentaje de género </t>
  </si>
  <si>
    <t>Celda Modificable</t>
  </si>
  <si>
    <t>El proyecto tiene sanitarios con descarga doble?</t>
  </si>
  <si>
    <t>Si</t>
  </si>
  <si>
    <t>No</t>
  </si>
  <si>
    <t>Tabla A</t>
  </si>
  <si>
    <t>Tasa de descarga promedio (lpd)</t>
  </si>
  <si>
    <t>Referencia Equipo</t>
  </si>
  <si>
    <t xml:space="preserve">Tipo de equipo </t>
  </si>
  <si>
    <t>Subtipo</t>
  </si>
  <si>
    <t xml:space="preserve">Linea base de descarga
(lpd) </t>
  </si>
  <si>
    <t>Descarga del equipo a instalar en el proyecto 
(lpd)</t>
  </si>
  <si>
    <t>Tasas de Descarga</t>
  </si>
  <si>
    <t>Linea base para un volúmen de descarga anual (Litros/año)</t>
  </si>
  <si>
    <t>Caso de diseño para un volúmen de descarga anual (Litros/año)</t>
  </si>
  <si>
    <t xml:space="preserve">Orinal de bajo flujo </t>
  </si>
  <si>
    <t xml:space="preserve">Orinal Convencional </t>
  </si>
  <si>
    <t xml:space="preserve">Orinal Sin agua </t>
  </si>
  <si>
    <t>Tabla B. Informacíon de los equipos hidrosanitarios de descarga</t>
  </si>
  <si>
    <t xml:space="preserve">Sanitario Convencional </t>
  </si>
  <si>
    <t>Sanitario de Bajo Flujo</t>
  </si>
  <si>
    <t>Sanitario de Doble Descarga</t>
  </si>
  <si>
    <t xml:space="preserve">Sanitario de Compostaje </t>
  </si>
  <si>
    <t xml:space="preserve"> Otro</t>
  </si>
  <si>
    <t>Por Defecto</t>
  </si>
  <si>
    <t>Linea Base
(Litros)</t>
  </si>
  <si>
    <t>Caso de diseño 
(Litros)</t>
  </si>
  <si>
    <t>Usos por Día</t>
  </si>
  <si>
    <t>Total de usos diarios</t>
  </si>
  <si>
    <t>Total de Uso Diario de Agua</t>
  </si>
  <si>
    <t>Equipos de Flujo</t>
  </si>
  <si>
    <t>Total</t>
  </si>
  <si>
    <t>TTC</t>
  </si>
  <si>
    <t>Empleados (TTC)</t>
  </si>
  <si>
    <t>Otro
(Específique)</t>
  </si>
  <si>
    <t>Tabla B. Información de los equipos hidrosanitarios de Flujo</t>
  </si>
  <si>
    <t>Tipo de Equipo</t>
  </si>
  <si>
    <t>Duración</t>
  </si>
  <si>
    <t>Por Defecto (s)</t>
  </si>
  <si>
    <t>Propuesta por usuario (s)(Opcional)</t>
  </si>
  <si>
    <t>Tasa de flujo</t>
  </si>
  <si>
    <t>Lineabase para tasa de flujo (lpm o lpc)</t>
  </si>
  <si>
    <t xml:space="preserve">Flujo del equipo a instalar en el proyecto </t>
  </si>
  <si>
    <t>Linea base para un volúmen de flujo anual (Litros/año)</t>
  </si>
  <si>
    <t>Caso Base</t>
  </si>
  <si>
    <t xml:space="preserve">Volúmen de Descarga anual </t>
  </si>
  <si>
    <t>Volúmen de flujo anual</t>
  </si>
  <si>
    <t>Consumo Anual</t>
  </si>
  <si>
    <t>Caso de Diseño</t>
  </si>
  <si>
    <t>Volúmen de Descarga Anual</t>
  </si>
  <si>
    <t xml:space="preserve">Volúmen de Flujo Anual </t>
  </si>
  <si>
    <t>Linea base de consumo anual de agua (Litros/año)</t>
  </si>
  <si>
    <t>Caso de diseño de consumo anual de agua (Litros/año)</t>
  </si>
  <si>
    <t>Porcentaje de reducción de agua (%)</t>
  </si>
  <si>
    <t xml:space="preserve">Consumo anual de los equipos instalados </t>
  </si>
  <si>
    <t>Descarga Sólidos (lpd)</t>
  </si>
  <si>
    <t>Descarga Líquidos (lpd)</t>
  </si>
  <si>
    <t>Porcentaje de Ocupantes 0 - 100 (%)</t>
  </si>
  <si>
    <t>Dias anuales de operación (0 -365)</t>
  </si>
  <si>
    <t>Porcentaje de hombres esperado que usarán orinales (0 -100)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</si>
</sst>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/>
    </xf>
    <xf numFmtId="4" fontId="0" fillId="5" borderId="14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37" xfId="0" applyFill="1" applyBorder="1"/>
    <xf numFmtId="0" fontId="0" fillId="5" borderId="5" xfId="0" applyFill="1" applyBorder="1"/>
    <xf numFmtId="4" fontId="0" fillId="5" borderId="5" xfId="0" applyNumberFormat="1" applyFill="1" applyBorder="1" applyAlignment="1">
      <alignment horizontal="center"/>
    </xf>
    <xf numFmtId="4" fontId="0" fillId="5" borderId="37" xfId="0" applyNumberFormat="1" applyFill="1" applyBorder="1" applyAlignment="1">
      <alignment horizontal="center"/>
    </xf>
    <xf numFmtId="10" fontId="0" fillId="5" borderId="5" xfId="1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9" fontId="0" fillId="4" borderId="1" xfId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05C8-BAF5-4FF9-93E6-FE3C7CFD03B1}">
  <dimension ref="B2:K28"/>
  <sheetViews>
    <sheetView zoomScale="70" zoomScaleNormal="70" workbookViewId="0">
      <selection activeCell="M12" sqref="M12"/>
    </sheetView>
  </sheetViews>
  <sheetFormatPr baseColWidth="10" defaultColWidth="11.42578125" defaultRowHeight="15" x14ac:dyDescent="0.25"/>
  <cols>
    <col min="1" max="1" width="11.42578125" style="1"/>
    <col min="2" max="2" width="41.7109375" style="1" customWidth="1"/>
    <col min="3" max="3" width="17" style="1" customWidth="1"/>
    <col min="4" max="8" width="11.42578125" style="1"/>
    <col min="9" max="9" width="13.5703125" style="1" customWidth="1"/>
    <col min="10" max="16384" width="11.42578125" style="1"/>
  </cols>
  <sheetData>
    <row r="2" spans="2:11" x14ac:dyDescent="0.25">
      <c r="B2" s="1" t="s">
        <v>0</v>
      </c>
    </row>
    <row r="4" spans="2:11" x14ac:dyDescent="0.25">
      <c r="B4" s="31" t="s">
        <v>11</v>
      </c>
      <c r="C4" s="31"/>
    </row>
    <row r="5" spans="2:11" ht="30.75" customHeight="1" x14ac:dyDescent="0.25">
      <c r="B5" s="3" t="s">
        <v>9</v>
      </c>
      <c r="C5" s="4" t="s">
        <v>10</v>
      </c>
    </row>
    <row r="6" spans="2:11" ht="30.75" customHeight="1" x14ac:dyDescent="0.25">
      <c r="B6" s="3" t="s">
        <v>12</v>
      </c>
      <c r="C6" s="4" t="s">
        <v>13</v>
      </c>
    </row>
    <row r="7" spans="2:11" ht="30.75" customHeight="1" x14ac:dyDescent="0.25">
      <c r="B7" s="3" t="s">
        <v>14</v>
      </c>
      <c r="C7" s="4" t="s">
        <v>15</v>
      </c>
    </row>
    <row r="8" spans="2:11" ht="30.75" customHeight="1" x14ac:dyDescent="0.25">
      <c r="B8" s="3" t="s">
        <v>16</v>
      </c>
      <c r="C8" s="4" t="s">
        <v>17</v>
      </c>
    </row>
    <row r="9" spans="2:11" ht="30.75" customHeight="1" x14ac:dyDescent="0.25">
      <c r="B9" s="3" t="s">
        <v>26</v>
      </c>
      <c r="C9" s="4" t="s">
        <v>27</v>
      </c>
    </row>
    <row r="10" spans="2:11" ht="30.75" customHeight="1" x14ac:dyDescent="0.25">
      <c r="B10" s="3" t="s">
        <v>28</v>
      </c>
      <c r="C10" s="4" t="s">
        <v>29</v>
      </c>
    </row>
    <row r="11" spans="2:11" ht="30.75" customHeight="1" x14ac:dyDescent="0.25">
      <c r="B11" s="3" t="s">
        <v>77</v>
      </c>
      <c r="C11" s="4" t="s">
        <v>35</v>
      </c>
    </row>
    <row r="12" spans="2:11" ht="30.75" customHeight="1" x14ac:dyDescent="0.25">
      <c r="C12" s="2"/>
    </row>
    <row r="13" spans="2:11" ht="16.5" customHeight="1" x14ac:dyDescent="0.25">
      <c r="C13" s="2"/>
    </row>
    <row r="14" spans="2:11" x14ac:dyDescent="0.25">
      <c r="B14" s="31" t="s">
        <v>75</v>
      </c>
      <c r="C14" s="31" t="s">
        <v>6</v>
      </c>
      <c r="D14" s="31"/>
      <c r="E14" s="32" t="s">
        <v>20</v>
      </c>
      <c r="G14" s="31" t="s">
        <v>32</v>
      </c>
      <c r="H14" s="31"/>
      <c r="I14" s="31"/>
      <c r="J14" s="31"/>
      <c r="K14" s="31"/>
    </row>
    <row r="15" spans="2:11" ht="34.5" customHeight="1" x14ac:dyDescent="0.25">
      <c r="B15" s="31"/>
      <c r="C15" s="5" t="s">
        <v>7</v>
      </c>
      <c r="D15" s="5" t="s">
        <v>8</v>
      </c>
      <c r="E15" s="31"/>
      <c r="G15" s="5" t="s">
        <v>34</v>
      </c>
      <c r="H15" s="7" t="s">
        <v>36</v>
      </c>
      <c r="I15" s="5" t="s">
        <v>37</v>
      </c>
      <c r="J15" s="7" t="s">
        <v>38</v>
      </c>
      <c r="K15" s="7" t="s">
        <v>39</v>
      </c>
    </row>
    <row r="16" spans="2:11" x14ac:dyDescent="0.25">
      <c r="B16" s="3" t="s">
        <v>5</v>
      </c>
      <c r="C16" s="3">
        <v>1.9</v>
      </c>
      <c r="D16" s="3">
        <v>0.5</v>
      </c>
      <c r="E16" s="3">
        <v>30</v>
      </c>
      <c r="G16" s="3">
        <v>3</v>
      </c>
      <c r="H16" s="3">
        <v>0.5</v>
      </c>
      <c r="I16" s="3">
        <v>0.2</v>
      </c>
      <c r="J16" s="3">
        <v>3</v>
      </c>
      <c r="K16" s="3">
        <v>0</v>
      </c>
    </row>
    <row r="17" spans="2:11" x14ac:dyDescent="0.25">
      <c r="B17" s="6" t="s">
        <v>18</v>
      </c>
      <c r="C17" s="6">
        <v>0.95</v>
      </c>
      <c r="D17" s="6">
        <v>0.25</v>
      </c>
      <c r="E17" s="3" t="s">
        <v>21</v>
      </c>
      <c r="G17" s="3">
        <v>3</v>
      </c>
      <c r="H17" s="3">
        <v>0.5</v>
      </c>
      <c r="I17" s="3">
        <v>0.2</v>
      </c>
      <c r="J17" s="3">
        <v>3</v>
      </c>
      <c r="K17" s="3">
        <v>0</v>
      </c>
    </row>
    <row r="18" spans="2:11" x14ac:dyDescent="0.25">
      <c r="B18" s="3" t="s">
        <v>19</v>
      </c>
      <c r="C18" s="3">
        <v>8.3000000000000007</v>
      </c>
      <c r="D18" s="3">
        <v>2.2000000000000002</v>
      </c>
      <c r="E18" s="3">
        <v>60</v>
      </c>
      <c r="G18" s="3">
        <v>0</v>
      </c>
      <c r="H18" s="3">
        <v>0</v>
      </c>
      <c r="I18" s="3">
        <v>0</v>
      </c>
      <c r="J18" s="3">
        <v>0</v>
      </c>
      <c r="K18" s="3">
        <v>5</v>
      </c>
    </row>
    <row r="19" spans="2:11" x14ac:dyDescent="0.25">
      <c r="B19" s="3" t="s">
        <v>4</v>
      </c>
      <c r="C19" s="3">
        <v>8.3000000000000007</v>
      </c>
      <c r="D19" s="3">
        <v>2.2000000000000002</v>
      </c>
      <c r="E19" s="3">
        <v>15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 t="s">
        <v>3</v>
      </c>
      <c r="C20" s="3">
        <v>8.3000000000000007</v>
      </c>
      <c r="D20" s="3">
        <v>2.2000000000000002</v>
      </c>
      <c r="E20" s="3">
        <v>60</v>
      </c>
      <c r="G20" s="3">
        <v>0</v>
      </c>
      <c r="H20" s="3">
        <v>0</v>
      </c>
      <c r="I20" s="3">
        <v>0</v>
      </c>
      <c r="J20" s="3">
        <v>0</v>
      </c>
      <c r="K20" s="3">
        <v>4</v>
      </c>
    </row>
    <row r="21" spans="2:11" x14ac:dyDescent="0.25">
      <c r="B21" s="3" t="s">
        <v>1</v>
      </c>
      <c r="C21" s="3">
        <v>9.5</v>
      </c>
      <c r="D21" s="3">
        <v>2.5</v>
      </c>
      <c r="E21" s="3">
        <v>300</v>
      </c>
      <c r="G21" s="3">
        <v>0.1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 t="s">
        <v>2</v>
      </c>
      <c r="C22" s="3">
        <v>9.5</v>
      </c>
      <c r="D22" s="3">
        <v>2.5</v>
      </c>
      <c r="E22" s="3">
        <v>480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4" spans="2:11" x14ac:dyDescent="0.25">
      <c r="B24" s="31" t="s">
        <v>22</v>
      </c>
      <c r="C24" s="31" t="s">
        <v>6</v>
      </c>
      <c r="D24" s="31"/>
      <c r="E24" s="32" t="s">
        <v>20</v>
      </c>
      <c r="G24" s="31" t="s">
        <v>32</v>
      </c>
      <c r="H24" s="31"/>
      <c r="I24" s="31"/>
      <c r="J24" s="31"/>
      <c r="K24" s="31"/>
    </row>
    <row r="25" spans="2:11" ht="30" x14ac:dyDescent="0.25">
      <c r="B25" s="31"/>
      <c r="C25" s="5" t="s">
        <v>30</v>
      </c>
      <c r="D25" s="5" t="s">
        <v>31</v>
      </c>
      <c r="E25" s="31"/>
      <c r="G25" s="5" t="s">
        <v>34</v>
      </c>
      <c r="H25" s="7" t="s">
        <v>36</v>
      </c>
      <c r="I25" s="5" t="s">
        <v>37</v>
      </c>
      <c r="J25" s="7" t="s">
        <v>38</v>
      </c>
      <c r="K25" s="7" t="s">
        <v>39</v>
      </c>
    </row>
    <row r="26" spans="2:11" x14ac:dyDescent="0.25">
      <c r="B26" s="3" t="s">
        <v>23</v>
      </c>
      <c r="C26" s="3">
        <v>6</v>
      </c>
      <c r="D26" s="3">
        <v>1.6</v>
      </c>
      <c r="E26" s="3" t="s">
        <v>21</v>
      </c>
      <c r="G26" s="3">
        <v>1</v>
      </c>
      <c r="H26" s="3">
        <v>0.1</v>
      </c>
      <c r="I26" s="3">
        <v>0.1</v>
      </c>
      <c r="J26" s="3">
        <v>1</v>
      </c>
      <c r="K26" s="3">
        <v>5</v>
      </c>
    </row>
    <row r="27" spans="2:11" x14ac:dyDescent="0.25">
      <c r="B27" s="3" t="s">
        <v>24</v>
      </c>
      <c r="C27" s="3">
        <v>6</v>
      </c>
      <c r="D27" s="3">
        <v>1.6</v>
      </c>
      <c r="E27" s="3" t="s">
        <v>21</v>
      </c>
      <c r="G27" s="3">
        <v>3</v>
      </c>
      <c r="H27" s="3">
        <v>0.5</v>
      </c>
      <c r="I27" s="3">
        <v>0.2</v>
      </c>
      <c r="J27" s="3">
        <v>3</v>
      </c>
      <c r="K27" s="3">
        <v>5</v>
      </c>
    </row>
    <row r="28" spans="2:11" x14ac:dyDescent="0.25">
      <c r="B28" s="3" t="s">
        <v>25</v>
      </c>
      <c r="C28" s="3">
        <v>3.8</v>
      </c>
      <c r="D28" s="3">
        <v>1</v>
      </c>
      <c r="E28" s="3" t="s">
        <v>21</v>
      </c>
      <c r="G28" s="3">
        <v>2</v>
      </c>
      <c r="H28" s="3">
        <v>0.4</v>
      </c>
      <c r="I28" s="3">
        <v>0.1</v>
      </c>
      <c r="J28" s="3">
        <v>2</v>
      </c>
      <c r="K28" s="3">
        <v>0</v>
      </c>
    </row>
  </sheetData>
  <sheetProtection algorithmName="SHA-512" hashValue="W/p1Tgk0d0nTMbPA9sbyyWHCv500w+fkd4O5x6nSlT47OBi79PzjJCZdWgWLtEJAWqPlckayFXmL/J35N3EUxQ==" saltValue="aqvtQXtEn303UoOThxWZ5Q==" spinCount="100000" sheet="1" objects="1" scenarios="1"/>
  <mergeCells count="9">
    <mergeCell ref="B4:C4"/>
    <mergeCell ref="B24:B25"/>
    <mergeCell ref="C24:D24"/>
    <mergeCell ref="E24:E25"/>
    <mergeCell ref="G14:K14"/>
    <mergeCell ref="G24:K24"/>
    <mergeCell ref="B14:B15"/>
    <mergeCell ref="C14:D14"/>
    <mergeCell ref="E14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C7F9-6309-4FD4-B596-F3FB47D06FE4}">
  <dimension ref="B2:T65"/>
  <sheetViews>
    <sheetView tabSelected="1" zoomScale="70" zoomScaleNormal="70" workbookViewId="0">
      <selection activeCell="D18" sqref="D18:D19"/>
    </sheetView>
  </sheetViews>
  <sheetFormatPr baseColWidth="10" defaultColWidth="11.42578125" defaultRowHeight="15" x14ac:dyDescent="0.25"/>
  <cols>
    <col min="1" max="2" width="11.42578125" style="10"/>
    <col min="3" max="3" width="20.7109375" style="10" customWidth="1"/>
    <col min="4" max="4" width="16.140625" style="10" customWidth="1"/>
    <col min="5" max="5" width="19.140625" style="10" customWidth="1"/>
    <col min="6" max="6" width="11.85546875" style="10" bestFit="1" customWidth="1"/>
    <col min="7" max="7" width="12.85546875" style="10" customWidth="1"/>
    <col min="8" max="8" width="13.7109375" style="10" customWidth="1"/>
    <col min="9" max="9" width="11.42578125" style="10"/>
    <col min="10" max="10" width="13.28515625" style="10" customWidth="1"/>
    <col min="11" max="11" width="11.42578125" style="10"/>
    <col min="12" max="12" width="13.28515625" style="10" customWidth="1"/>
    <col min="13" max="13" width="11.140625" style="10" customWidth="1"/>
    <col min="14" max="15" width="11.42578125" style="10"/>
    <col min="16" max="16" width="4.140625" style="10" customWidth="1"/>
    <col min="17" max="17" width="20.140625" style="10" customWidth="1"/>
    <col min="18" max="18" width="4.140625" style="10" customWidth="1"/>
    <col min="19" max="19" width="13" style="10" customWidth="1"/>
    <col min="20" max="20" width="13.140625" style="10" customWidth="1"/>
    <col min="21" max="16384" width="11.42578125" style="10"/>
  </cols>
  <sheetData>
    <row r="2" spans="2:10" x14ac:dyDescent="0.25">
      <c r="B2" s="26"/>
      <c r="C2" s="8" t="s">
        <v>46</v>
      </c>
    </row>
    <row r="4" spans="2:10" ht="34.5" customHeight="1" x14ac:dyDescent="0.25">
      <c r="B4" s="7" t="s">
        <v>42</v>
      </c>
      <c r="C4" s="7" t="s">
        <v>78</v>
      </c>
      <c r="D4" s="7" t="s">
        <v>36</v>
      </c>
      <c r="E4" s="7" t="s">
        <v>43</v>
      </c>
      <c r="F4" s="7" t="s">
        <v>38</v>
      </c>
      <c r="G4" s="7" t="s">
        <v>44</v>
      </c>
      <c r="H4" s="5" t="s">
        <v>79</v>
      </c>
      <c r="J4" s="5" t="s">
        <v>45</v>
      </c>
    </row>
    <row r="5" spans="2:10" x14ac:dyDescent="0.25">
      <c r="B5" s="8" t="s">
        <v>40</v>
      </c>
      <c r="C5" s="8">
        <f>+IF(ISODD(C$7)=TRUE,INT(C$7/2)+1,C$7/2)</f>
        <v>0</v>
      </c>
      <c r="D5" s="8">
        <f t="shared" ref="D5:H5" si="0">+IF(ISODD(D$7)=TRUE,INT(D$7/2)+1,D$7/2)</f>
        <v>0</v>
      </c>
      <c r="E5" s="8">
        <f t="shared" si="0"/>
        <v>0</v>
      </c>
      <c r="F5" s="8">
        <f t="shared" si="0"/>
        <v>5</v>
      </c>
      <c r="G5" s="8">
        <f t="shared" si="0"/>
        <v>0</v>
      </c>
      <c r="H5" s="8">
        <f t="shared" si="0"/>
        <v>0</v>
      </c>
      <c r="J5" s="9">
        <f>+IFERROR(SUM($C$5:$H$5)/SUM($C$7:$H$7),0)</f>
        <v>0.5</v>
      </c>
    </row>
    <row r="6" spans="2:10" x14ac:dyDescent="0.25">
      <c r="B6" s="8" t="s">
        <v>41</v>
      </c>
      <c r="C6" s="8">
        <f>+INT(C$7/2)</f>
        <v>0</v>
      </c>
      <c r="D6" s="8">
        <f t="shared" ref="D6:H6" si="1">+INT(D$7/2)</f>
        <v>0</v>
      </c>
      <c r="E6" s="8">
        <f t="shared" si="1"/>
        <v>0</v>
      </c>
      <c r="F6" s="8">
        <f t="shared" si="1"/>
        <v>5</v>
      </c>
      <c r="G6" s="8">
        <f t="shared" si="1"/>
        <v>0</v>
      </c>
      <c r="H6" s="8">
        <f t="shared" si="1"/>
        <v>0</v>
      </c>
      <c r="J6" s="9">
        <f>+IFERROR(SUM($C$6:$H$6)/SUM($C$7:$H$7),0)</f>
        <v>0.5</v>
      </c>
    </row>
    <row r="7" spans="2:10" x14ac:dyDescent="0.25">
      <c r="B7" s="8" t="s">
        <v>76</v>
      </c>
      <c r="C7" s="26"/>
      <c r="D7" s="26"/>
      <c r="E7" s="26"/>
      <c r="F7" s="26">
        <v>10</v>
      </c>
      <c r="G7" s="26"/>
      <c r="H7" s="26"/>
      <c r="J7" s="9">
        <f>+SUM(J5:J6)</f>
        <v>1</v>
      </c>
    </row>
    <row r="10" spans="2:10" x14ac:dyDescent="0.25">
      <c r="B10" s="66" t="s">
        <v>104</v>
      </c>
      <c r="C10" s="66"/>
      <c r="D10" s="67">
        <v>1</v>
      </c>
    </row>
    <row r="11" spans="2:10" x14ac:dyDescent="0.25">
      <c r="B11" s="66"/>
      <c r="C11" s="66"/>
      <c r="D11" s="67"/>
    </row>
    <row r="14" spans="2:10" x14ac:dyDescent="0.25">
      <c r="B14" s="32" t="s">
        <v>103</v>
      </c>
      <c r="C14" s="32"/>
      <c r="D14" s="68">
        <v>364</v>
      </c>
    </row>
    <row r="15" spans="2:10" x14ac:dyDescent="0.25">
      <c r="B15" s="32"/>
      <c r="C15" s="32"/>
      <c r="D15" s="68"/>
    </row>
    <row r="17" spans="2:12" x14ac:dyDescent="0.25">
      <c r="E17" s="25"/>
    </row>
    <row r="18" spans="2:12" ht="15" customHeight="1" x14ac:dyDescent="0.25">
      <c r="B18" s="32" t="s">
        <v>47</v>
      </c>
      <c r="C18" s="32"/>
      <c r="D18" s="68" t="s">
        <v>48</v>
      </c>
      <c r="E18" s="25" t="s">
        <v>48</v>
      </c>
      <c r="F18" s="32" t="s">
        <v>50</v>
      </c>
      <c r="G18" s="32"/>
      <c r="H18" s="70" t="s">
        <v>100</v>
      </c>
      <c r="I18" s="70"/>
      <c r="J18" s="26">
        <v>6</v>
      </c>
    </row>
    <row r="19" spans="2:12" x14ac:dyDescent="0.25">
      <c r="B19" s="32"/>
      <c r="C19" s="32"/>
      <c r="D19" s="68"/>
      <c r="E19" s="25" t="s">
        <v>49</v>
      </c>
      <c r="F19" s="32"/>
      <c r="G19" s="32"/>
      <c r="H19" s="70" t="s">
        <v>101</v>
      </c>
      <c r="I19" s="70"/>
      <c r="J19" s="26">
        <v>4</v>
      </c>
    </row>
    <row r="20" spans="2:12" x14ac:dyDescent="0.25">
      <c r="B20" s="32"/>
      <c r="C20" s="32"/>
      <c r="D20" s="69" t="str">
        <f>+IF(D18="Si","Llenar tabla A","Seguir Proceso en Tabla B")</f>
        <v>Llenar tabla A</v>
      </c>
      <c r="E20" s="25"/>
      <c r="F20" s="32"/>
      <c r="G20" s="32"/>
      <c r="H20" s="71" t="s">
        <v>51</v>
      </c>
      <c r="I20" s="71"/>
      <c r="J20" s="72">
        <f>+IFERROR(((J5*J18*(2-(D10*2)))+(J6*2*J18)+(J5*J19)+(J6*J19))/((J5*(1+(2-(D10*2)))+(J6*(1+2)))),0)</f>
        <v>5</v>
      </c>
    </row>
    <row r="21" spans="2:12" x14ac:dyDescent="0.25">
      <c r="B21" s="32"/>
      <c r="C21" s="32"/>
      <c r="D21" s="69"/>
      <c r="E21" s="14"/>
      <c r="F21" s="32"/>
      <c r="G21" s="32"/>
      <c r="H21" s="71"/>
      <c r="I21" s="71"/>
      <c r="J21" s="73"/>
    </row>
    <row r="23" spans="2:12" hidden="1" x14ac:dyDescent="0.25"/>
    <row r="24" spans="2:12" hidden="1" x14ac:dyDescent="0.25">
      <c r="B24" s="59"/>
      <c r="C24" s="59"/>
      <c r="D24" s="59"/>
      <c r="E24" s="59"/>
      <c r="F24" s="59"/>
      <c r="G24" s="59"/>
      <c r="H24" s="25"/>
      <c r="I24" s="25" t="s">
        <v>25</v>
      </c>
      <c r="J24" s="25"/>
      <c r="K24" s="25" t="s">
        <v>60</v>
      </c>
      <c r="L24" s="25"/>
    </row>
    <row r="25" spans="2:12" hidden="1" x14ac:dyDescent="0.25">
      <c r="B25" s="59"/>
      <c r="C25" s="59"/>
      <c r="D25" s="59"/>
      <c r="E25" s="59"/>
      <c r="F25" s="59"/>
      <c r="G25" s="59"/>
      <c r="H25" s="25"/>
      <c r="I25" s="25" t="s">
        <v>23</v>
      </c>
      <c r="J25" s="25"/>
      <c r="K25" s="25" t="s">
        <v>61</v>
      </c>
      <c r="L25" s="25"/>
    </row>
    <row r="26" spans="2:12" hidden="1" x14ac:dyDescent="0.25">
      <c r="B26" s="59"/>
      <c r="C26" s="59"/>
      <c r="D26" s="59"/>
      <c r="E26" s="59"/>
      <c r="F26" s="59"/>
      <c r="G26" s="59"/>
      <c r="H26" s="25"/>
      <c r="I26" s="25" t="s">
        <v>24</v>
      </c>
      <c r="J26" s="25"/>
      <c r="K26" s="25" t="s">
        <v>62</v>
      </c>
      <c r="L26" s="25"/>
    </row>
    <row r="27" spans="2:12" hidden="1" x14ac:dyDescent="0.25">
      <c r="B27" s="59"/>
      <c r="C27" s="59"/>
      <c r="D27" s="59"/>
      <c r="E27" s="59"/>
      <c r="F27" s="59"/>
      <c r="G27" s="59"/>
      <c r="H27" s="25"/>
      <c r="I27" s="25"/>
      <c r="J27" s="25"/>
      <c r="K27" s="25" t="s">
        <v>64</v>
      </c>
      <c r="L27" s="25"/>
    </row>
    <row r="28" spans="2:12" hidden="1" x14ac:dyDescent="0.25">
      <c r="B28" s="59"/>
      <c r="C28" s="59"/>
      <c r="D28" s="59"/>
      <c r="E28" s="59"/>
      <c r="F28" s="59"/>
      <c r="G28" s="59"/>
      <c r="H28" s="25"/>
      <c r="I28" s="25"/>
      <c r="J28" s="25"/>
      <c r="K28" s="25" t="s">
        <v>65</v>
      </c>
      <c r="L28" s="25"/>
    </row>
    <row r="29" spans="2:12" hidden="1" x14ac:dyDescent="0.25">
      <c r="B29" s="59"/>
      <c r="C29" s="59"/>
      <c r="D29" s="59"/>
      <c r="E29" s="59"/>
      <c r="F29" s="59"/>
      <c r="G29" s="59"/>
      <c r="H29" s="25"/>
      <c r="I29" s="25"/>
      <c r="J29" s="25"/>
      <c r="K29" s="25" t="s">
        <v>66</v>
      </c>
      <c r="L29" s="25"/>
    </row>
    <row r="30" spans="2:12" hidden="1" x14ac:dyDescent="0.25">
      <c r="B30" s="59"/>
      <c r="C30" s="59"/>
      <c r="D30" s="59"/>
      <c r="E30" s="59"/>
      <c r="F30" s="59"/>
      <c r="G30" s="59"/>
      <c r="H30" s="25"/>
      <c r="I30" s="25"/>
      <c r="J30" s="25"/>
      <c r="K30" s="25" t="s">
        <v>67</v>
      </c>
      <c r="L30" s="25"/>
    </row>
    <row r="33" spans="2:20" x14ac:dyDescent="0.25">
      <c r="B33" s="77" t="s">
        <v>63</v>
      </c>
      <c r="C33" s="60"/>
      <c r="D33" s="60"/>
      <c r="E33" s="60"/>
      <c r="F33" s="60" t="s">
        <v>57</v>
      </c>
      <c r="G33" s="60"/>
      <c r="H33" s="61" t="s">
        <v>102</v>
      </c>
      <c r="J33" s="35" t="s">
        <v>72</v>
      </c>
      <c r="K33" s="41"/>
      <c r="L33" s="41"/>
      <c r="M33" s="41"/>
      <c r="N33" s="42"/>
      <c r="O33" s="36"/>
      <c r="Q33" s="15" t="s">
        <v>73</v>
      </c>
      <c r="S33" s="35" t="s">
        <v>74</v>
      </c>
      <c r="T33" s="36"/>
    </row>
    <row r="34" spans="2:20" ht="27" customHeight="1" x14ac:dyDescent="0.25">
      <c r="B34" s="37" t="s">
        <v>52</v>
      </c>
      <c r="C34" s="64" t="s">
        <v>53</v>
      </c>
      <c r="D34" s="64" t="s">
        <v>54</v>
      </c>
      <c r="E34" s="64"/>
      <c r="F34" s="43" t="s">
        <v>55</v>
      </c>
      <c r="G34" s="43" t="s">
        <v>56</v>
      </c>
      <c r="H34" s="62"/>
      <c r="J34" s="37" t="s">
        <v>33</v>
      </c>
      <c r="K34" s="43" t="s">
        <v>36</v>
      </c>
      <c r="L34" s="43" t="s">
        <v>43</v>
      </c>
      <c r="M34" s="43" t="s">
        <v>38</v>
      </c>
      <c r="N34" s="45" t="s">
        <v>44</v>
      </c>
      <c r="O34" s="39" t="s">
        <v>68</v>
      </c>
      <c r="Q34" s="33" t="s">
        <v>69</v>
      </c>
      <c r="S34" s="37" t="s">
        <v>70</v>
      </c>
      <c r="T34" s="39" t="s">
        <v>71</v>
      </c>
    </row>
    <row r="35" spans="2:20" ht="47.25" customHeight="1" x14ac:dyDescent="0.25">
      <c r="B35" s="38"/>
      <c r="C35" s="65"/>
      <c r="D35" s="65"/>
      <c r="E35" s="65"/>
      <c r="F35" s="44"/>
      <c r="G35" s="44"/>
      <c r="H35" s="63"/>
      <c r="J35" s="38"/>
      <c r="K35" s="44"/>
      <c r="L35" s="44"/>
      <c r="M35" s="44"/>
      <c r="N35" s="46"/>
      <c r="O35" s="40"/>
      <c r="Q35" s="34"/>
      <c r="S35" s="38"/>
      <c r="T35" s="40"/>
    </row>
    <row r="36" spans="2:20" x14ac:dyDescent="0.25">
      <c r="B36" s="27"/>
      <c r="C36" s="27"/>
      <c r="D36" s="75"/>
      <c r="E36" s="76"/>
      <c r="F36" s="11" t="str">
        <f>+IFERROR(VLOOKUP(C36,'Linea base'!$B$26:$C$28,2,FALSE),"")</f>
        <v/>
      </c>
      <c r="G36" s="27"/>
      <c r="H36" s="27"/>
      <c r="J36" s="11">
        <f>+IF($C$7&gt;0,IF($C36="Sanitario (Hombres)",1+(2*(1-$D$10)),IF($C36="Sanitario (Mujeres)",'Linea base'!$G$27,IF($C36="Orinal",2*$D$10,0))),0)</f>
        <v>0</v>
      </c>
      <c r="K36" s="11">
        <f>+IF($D$7&gt;0,IF($C36="Sanitario (Hombres)",0.1+(0.4*(1-$D$10)),IF($C36="Sanitario (Mujeres)",'Linea base'!$H$27,IF($C36="Orinal",0.4*$D$10,0))),0)</f>
        <v>0</v>
      </c>
      <c r="L36" s="11">
        <f>+IF($E$7&gt;0,IF($C36="Sanitario (Hombres)",0.1+(0.1*(1-$D$10)),IF($C36="Sanitario (Mujeres)",'Linea base'!$I$27,IF($C36="Orinal",0.1*$D$10,0))),0)</f>
        <v>0</v>
      </c>
      <c r="M36" s="11">
        <f>+IF($F$7&gt;0,IF($C36="Sanitario (Hombres)",1+(2*(1-$D$10)),IF($C36="Sanitario (Mujeres)",'Linea base'!$J$27,IF($C36="Orinal",2*$D$10,0))),0)</f>
        <v>0</v>
      </c>
      <c r="N36" s="11">
        <f>+IF($G$7&gt;0,IF($C36="Sanitario (Hombres)",'Linea base'!$K$26,IF($C36="Sanitario (Mujeres)",'Linea base'!$K$27,IF($C36="Orinal",'Linea base'!$K$28,0))),0)</f>
        <v>0</v>
      </c>
      <c r="O36" s="27"/>
      <c r="Q36" s="11">
        <f>+IF(C36="Sanitario (Mujeres)",(($C$6*J36)+($D$6*K36)+($E$6*L36)+($F$6*M36)+($G$6*N36)+($H$6*O36)),(($C$5*J36)+($D$5*K36)+($E$5*L36)+($F$5*M36)+($G$5*N36)+($H$5*O36)))</f>
        <v>0</v>
      </c>
      <c r="S36" s="11">
        <f>+IFERROR((F36*(Q36*(H36/100))),0)</f>
        <v>0</v>
      </c>
      <c r="T36" s="11">
        <f>+IFERROR((G36*(Q36*(H36/100))),0)</f>
        <v>0</v>
      </c>
    </row>
    <row r="37" spans="2:20" x14ac:dyDescent="0.25">
      <c r="B37" s="27"/>
      <c r="C37" s="27"/>
      <c r="D37" s="75"/>
      <c r="E37" s="76"/>
      <c r="F37" s="11" t="str">
        <f>+IFERROR(VLOOKUP(C37,'Linea base'!$B$26:$C$28,2,FALSE),"")</f>
        <v/>
      </c>
      <c r="G37" s="27"/>
      <c r="H37" s="27"/>
      <c r="J37" s="11">
        <f>+IF($C$7&gt;0,IF($C37="Sanitario (Hombres)",1+(2*(1-$D$10)),IF($C37="Sanitario (Mujeres)",'Linea base'!$G$27,IF($C37="Orinal",2*$D$10,0))),0)</f>
        <v>0</v>
      </c>
      <c r="K37" s="11">
        <f>+IF($D$7&gt;0,IF($C37="Sanitario (Hombres)",0.1+(0.4*(1-$D$10)),IF($C37="Sanitario (Mujeres)",'Linea base'!$H$27,IF($C37="Orinal",0.4*$D$10,0))),0)</f>
        <v>0</v>
      </c>
      <c r="L37" s="11">
        <f>+IF($E$7&gt;0,IF($C37="Sanitario (Hombres)",0.1+(0.1*(1-$D$10)),IF($C37="Sanitario (Mujeres)",'Linea base'!$I$27,IF($C37="Orinal",0.1*$D$10,0))),0)</f>
        <v>0</v>
      </c>
      <c r="M37" s="11">
        <f>+IF($F$7&gt;0,IF($C37="Sanitario (Hombres)",1+(2*(1-$D$10)),IF($C37="Sanitario (Mujeres)",'Linea base'!$J$27,IF($C37="Orinal",2*$D$10,0))),0)</f>
        <v>0</v>
      </c>
      <c r="N37" s="11">
        <f>+IF($G$7&gt;0,IF($C37="Sanitario (Hombres)",'Linea base'!$K$26,IF($C37="Sanitario (Mujeres)",'Linea base'!$K$27,IF($C37="Orinal",'Linea base'!$K$28,0))),0)</f>
        <v>0</v>
      </c>
      <c r="O37" s="27"/>
      <c r="Q37" s="11">
        <f t="shared" ref="Q37:Q41" si="2">+IF(C37="Sanitario (Mujeres)",(($C$6*J37)+($D$6*K37)+($E$6*L37)+($F$6*M37)+($G$6*N37)+($H$6*O37)),(($C$5*J37)+($D$5*K37)+($E$5*L37)+($F$5*M37)+($G$5*N37)+($H$5*O37)))</f>
        <v>0</v>
      </c>
      <c r="S37" s="11">
        <f t="shared" ref="S37:S41" si="3">+IFERROR((F37*(Q37*(H37/100))),0)</f>
        <v>0</v>
      </c>
      <c r="T37" s="11">
        <f t="shared" ref="T37:T41" si="4">+IFERROR((G37*(Q37*(H37/100))),0)</f>
        <v>0</v>
      </c>
    </row>
    <row r="38" spans="2:20" x14ac:dyDescent="0.25">
      <c r="B38" s="27"/>
      <c r="C38" s="27"/>
      <c r="D38" s="75"/>
      <c r="E38" s="76"/>
      <c r="F38" s="11" t="str">
        <f>+IFERROR(VLOOKUP(C38,'Linea base'!$B$26:$C$28,2,FALSE),"")</f>
        <v/>
      </c>
      <c r="G38" s="27"/>
      <c r="H38" s="27"/>
      <c r="J38" s="11">
        <f>+IF($C$7&gt;0,IF($C38="Sanitario (Hombres)",1+(2*(1-$D$10)),IF($C38="Sanitario (Mujeres)",'Linea base'!$G$27,IF($C38="Orinal",2*$D$10,0))),0)</f>
        <v>0</v>
      </c>
      <c r="K38" s="11">
        <f>+IF($D$7&gt;0,IF($C38="Sanitario (Hombres)",0.1+(0.4*(1-$D$10)),IF($C38="Sanitario (Mujeres)",'Linea base'!$H$27,IF($C38="Orinal",0.4*$D$10,0))),0)</f>
        <v>0</v>
      </c>
      <c r="L38" s="11">
        <f>+IF($E$7&gt;0,IF($C38="Sanitario (Hombres)",0.1+(0.1*(1-$D$10)),IF($C38="Sanitario (Mujeres)",'Linea base'!$I$27,IF($C38="Orinal",0.1*$D$10,0))),0)</f>
        <v>0</v>
      </c>
      <c r="M38" s="11">
        <f>+IF($F$7&gt;0,IF($C38="Sanitario (Hombres)",1+(2*(1-$D$10)),IF($C38="Sanitario (Mujeres)",'Linea base'!$J$27,IF($C38="Orinal",2*$D$10,0))),0)</f>
        <v>0</v>
      </c>
      <c r="N38" s="11">
        <f>+IF($G$7&gt;0,IF($C38="Sanitario (Hombres)",'Linea base'!$K$26,IF($C38="Sanitario (Mujeres)",'Linea base'!$K$27,IF($C38="Orinal",'Linea base'!$K$28,0))),0)</f>
        <v>0</v>
      </c>
      <c r="O38" s="27"/>
      <c r="Q38" s="11">
        <f t="shared" si="2"/>
        <v>0</v>
      </c>
      <c r="S38" s="11">
        <f t="shared" si="3"/>
        <v>0</v>
      </c>
      <c r="T38" s="11">
        <f t="shared" si="4"/>
        <v>0</v>
      </c>
    </row>
    <row r="39" spans="2:20" x14ac:dyDescent="0.25">
      <c r="B39" s="27"/>
      <c r="C39" s="27"/>
      <c r="D39" s="75"/>
      <c r="E39" s="76"/>
      <c r="F39" s="11" t="str">
        <f>+IFERROR(VLOOKUP(C39,'Linea base'!$B$26:$C$28,2,FALSE),"")</f>
        <v/>
      </c>
      <c r="G39" s="27"/>
      <c r="H39" s="27"/>
      <c r="J39" s="11">
        <f>+IF($C$7&gt;0,IF($C39="Sanitario (Hombres)",1+(2*(1-$D$10)),IF($C39="Sanitario (Mujeres)",'Linea base'!$G$27,IF($C39="Orinal",2*$D$10,0))),0)</f>
        <v>0</v>
      </c>
      <c r="K39" s="11">
        <f>+IF($D$7&gt;0,IF($C39="Sanitario (Hombres)",0.1+(0.4*(1-$D$10)),IF($C39="Sanitario (Mujeres)",'Linea base'!$H$27,IF($C39="Orinal",0.4*$D$10,0))),0)</f>
        <v>0</v>
      </c>
      <c r="L39" s="11">
        <f>+IF($E$7&gt;0,IF($C39="Sanitario (Hombres)",0.1+(0.1*(1-$D$10)),IF($C39="Sanitario (Mujeres)",'Linea base'!$I$27,IF($C39="Orinal",0.1*$D$10,0))),0)</f>
        <v>0</v>
      </c>
      <c r="M39" s="11">
        <f>+IF($F$7&gt;0,IF($C39="Sanitario (Hombres)",1+(2*(1-$D$10)),IF($C39="Sanitario (Mujeres)",'Linea base'!$J$27,IF($C39="Orinal",2*$D$10,0))),0)</f>
        <v>0</v>
      </c>
      <c r="N39" s="11">
        <f>+IF($G$7&gt;0,IF($C39="Sanitario (Hombres)",'Linea base'!$K$26,IF($C39="Sanitario (Mujeres)",'Linea base'!$K$27,IF($C39="Orinal",'Linea base'!$K$28,0))),0)</f>
        <v>0</v>
      </c>
      <c r="O39" s="27"/>
      <c r="Q39" s="11">
        <f t="shared" si="2"/>
        <v>0</v>
      </c>
      <c r="S39" s="11">
        <f t="shared" si="3"/>
        <v>0</v>
      </c>
      <c r="T39" s="11">
        <f t="shared" si="4"/>
        <v>0</v>
      </c>
    </row>
    <row r="40" spans="2:20" x14ac:dyDescent="0.25">
      <c r="B40" s="27"/>
      <c r="C40" s="27"/>
      <c r="D40" s="75"/>
      <c r="E40" s="76"/>
      <c r="F40" s="11" t="str">
        <f>+IFERROR(VLOOKUP(C40,'Linea base'!$B$26:$C$28,2,FALSE),"")</f>
        <v/>
      </c>
      <c r="G40" s="27"/>
      <c r="H40" s="27"/>
      <c r="J40" s="11">
        <f>+IF($C$7&gt;0,IF($C40="Sanitario (Hombres)",1+(2*(1-$D$10)),IF($C40="Sanitario (Mujeres)",'Linea base'!$G$27,IF($C40="Orinal",2*$D$10,0))),0)</f>
        <v>0</v>
      </c>
      <c r="K40" s="11">
        <f>+IF($D$7&gt;0,IF($C40="Sanitario (Hombres)",0.1+(0.4*(1-$D$10)),IF($C40="Sanitario (Mujeres)",'Linea base'!$H$27,IF($C40="Orinal",0.4*$D$10,0))),0)</f>
        <v>0</v>
      </c>
      <c r="L40" s="11">
        <f>+IF($E$7&gt;0,IF($C40="Sanitario (Hombres)",0.1+(0.1*(1-$D$10)),IF($C40="Sanitario (Mujeres)",'Linea base'!$I$27,IF($C40="Orinal",0.1*$D$10,0))),0)</f>
        <v>0</v>
      </c>
      <c r="M40" s="11">
        <f>+IF($F$7&gt;0,IF($C40="Sanitario (Hombres)",1+(2*(1-$D$10)),IF($C40="Sanitario (Mujeres)",'Linea base'!$J$27,IF($C40="Orinal",2*$D$10,0))),0)</f>
        <v>0</v>
      </c>
      <c r="N40" s="11">
        <f>+IF($G$7&gt;0,IF($C40="Sanitario (Hombres)",'Linea base'!$K$26,IF($C40="Sanitario (Mujeres)",'Linea base'!$K$27,IF($C40="Orinal",'Linea base'!$K$28,0))),0)</f>
        <v>0</v>
      </c>
      <c r="O40" s="27"/>
      <c r="Q40" s="11">
        <f t="shared" si="2"/>
        <v>0</v>
      </c>
      <c r="S40" s="11">
        <f t="shared" si="3"/>
        <v>0</v>
      </c>
      <c r="T40" s="11">
        <f t="shared" si="4"/>
        <v>0</v>
      </c>
    </row>
    <row r="41" spans="2:20" x14ac:dyDescent="0.25">
      <c r="B41" s="27"/>
      <c r="C41" s="27"/>
      <c r="D41" s="75"/>
      <c r="E41" s="76"/>
      <c r="F41" s="11" t="str">
        <f>+IFERROR(VLOOKUP(C41,'Linea base'!$B$26:$C$28,2,FALSE),"")</f>
        <v/>
      </c>
      <c r="G41" s="27"/>
      <c r="H41" s="29"/>
      <c r="J41" s="11">
        <f>+IF($C$7&gt;0,IF($C41="Sanitario (Hombres)",1+(2*(1-$D$10)),IF($C41="Sanitario (Mujeres)",'Linea base'!$G$27,IF($C41="Orinal",2*$D$10,0))),0)</f>
        <v>0</v>
      </c>
      <c r="K41" s="11">
        <f>+IF($D$7&gt;0,IF($C41="Sanitario (Hombres)",0.1+(0.4*(1-$D$10)),IF($C41="Sanitario (Mujeres)",'Linea base'!$H$27,IF($C41="Orinal",0.4*$D$10,0))),0)</f>
        <v>0</v>
      </c>
      <c r="L41" s="11">
        <f>+IF($E$7&gt;0,IF($C41="Sanitario (Hombres)",0.1+(0.1*(1-$D$10)),IF($C41="Sanitario (Mujeres)",'Linea base'!$I$27,IF($C41="Orinal",0.1*$D$10,0))),0)</f>
        <v>0</v>
      </c>
      <c r="M41" s="11">
        <f>+IF($F$7&gt;0,IF($C41="Sanitario (Hombres)",1+(2*(1-$D$10)),IF($C41="Sanitario (Mujeres)",'Linea base'!$J$27,IF($C41="Orinal",2*$D$10,0))),0)</f>
        <v>0</v>
      </c>
      <c r="N41" s="11">
        <f>+IF($G$7&gt;0,IF($C41="Sanitario (Hombres)",'Linea base'!$K$26,IF($C41="Sanitario (Mujeres)",'Linea base'!$K$27,IF($C41="Orinal",'Linea base'!$K$28,0))),0)</f>
        <v>0</v>
      </c>
      <c r="O41" s="27"/>
      <c r="Q41" s="11">
        <f t="shared" si="2"/>
        <v>0</v>
      </c>
      <c r="S41" s="11">
        <f t="shared" si="3"/>
        <v>0</v>
      </c>
      <c r="T41" s="11">
        <f t="shared" si="4"/>
        <v>0</v>
      </c>
    </row>
    <row r="42" spans="2:20" x14ac:dyDescent="0.25">
      <c r="B42" s="47" t="s">
        <v>58</v>
      </c>
      <c r="C42" s="48"/>
      <c r="D42" s="48"/>
      <c r="E42" s="48"/>
      <c r="F42" s="48"/>
      <c r="G42" s="74"/>
      <c r="H42" s="16">
        <f>+(SUM(S36:S41)*$D$14)</f>
        <v>0</v>
      </c>
      <c r="I42" s="12"/>
    </row>
    <row r="43" spans="2:20" x14ac:dyDescent="0.25">
      <c r="B43" s="50" t="s">
        <v>59</v>
      </c>
      <c r="C43" s="51"/>
      <c r="D43" s="51"/>
      <c r="E43" s="51"/>
      <c r="F43" s="51"/>
      <c r="G43" s="51"/>
      <c r="H43" s="17">
        <f>+(SUM(T36:T41)*$D$14)</f>
        <v>0</v>
      </c>
    </row>
    <row r="45" spans="2:20" hidden="1" x14ac:dyDescent="0.25">
      <c r="H45" s="25"/>
      <c r="I45" s="25"/>
      <c r="J45" s="25" t="s">
        <v>5</v>
      </c>
      <c r="K45" s="25"/>
      <c r="L45" s="25"/>
    </row>
    <row r="46" spans="2:20" hidden="1" x14ac:dyDescent="0.25">
      <c r="B46" s="59"/>
      <c r="C46" s="59"/>
      <c r="D46" s="59"/>
      <c r="E46" s="59"/>
      <c r="F46" s="59"/>
      <c r="G46" s="59"/>
      <c r="H46" s="25"/>
      <c r="I46" s="25"/>
      <c r="J46" s="25" t="s">
        <v>18</v>
      </c>
      <c r="K46" s="25"/>
      <c r="L46" s="25"/>
    </row>
    <row r="47" spans="2:20" hidden="1" x14ac:dyDescent="0.25">
      <c r="B47" s="59"/>
      <c r="C47" s="59"/>
      <c r="D47" s="59"/>
      <c r="E47" s="59"/>
      <c r="F47" s="59"/>
      <c r="G47" s="59"/>
      <c r="H47" s="25"/>
      <c r="I47" s="25"/>
      <c r="J47" s="25" t="s">
        <v>19</v>
      </c>
      <c r="K47" s="25"/>
      <c r="L47" s="25"/>
    </row>
    <row r="48" spans="2:20" hidden="1" x14ac:dyDescent="0.25">
      <c r="B48" s="59"/>
      <c r="C48" s="59"/>
      <c r="D48" s="59"/>
      <c r="E48" s="59"/>
      <c r="F48" s="59"/>
      <c r="G48" s="59"/>
      <c r="H48" s="25"/>
      <c r="I48" s="25"/>
      <c r="J48" s="25" t="s">
        <v>4</v>
      </c>
      <c r="K48" s="25"/>
      <c r="L48" s="25"/>
    </row>
    <row r="49" spans="2:20" hidden="1" x14ac:dyDescent="0.25">
      <c r="B49" s="59"/>
      <c r="C49" s="59"/>
      <c r="D49" s="59"/>
      <c r="E49" s="59"/>
      <c r="F49" s="59"/>
      <c r="G49" s="59"/>
      <c r="H49" s="25"/>
      <c r="I49" s="25"/>
      <c r="J49" s="25" t="s">
        <v>3</v>
      </c>
      <c r="K49" s="25"/>
      <c r="L49" s="25"/>
    </row>
    <row r="50" spans="2:20" hidden="1" x14ac:dyDescent="0.25">
      <c r="B50" s="59"/>
      <c r="C50" s="59"/>
      <c r="D50" s="59"/>
      <c r="E50" s="59"/>
      <c r="F50" s="59"/>
      <c r="G50" s="59"/>
      <c r="H50" s="25"/>
      <c r="I50" s="25"/>
      <c r="J50" s="25" t="s">
        <v>1</v>
      </c>
      <c r="K50" s="25"/>
      <c r="L50" s="25"/>
    </row>
    <row r="51" spans="2:20" hidden="1" x14ac:dyDescent="0.25">
      <c r="B51" s="59"/>
      <c r="C51" s="59"/>
      <c r="D51" s="59"/>
      <c r="E51" s="59"/>
      <c r="F51" s="59"/>
      <c r="G51" s="59"/>
      <c r="H51" s="25"/>
      <c r="I51" s="25"/>
      <c r="J51" s="25" t="s">
        <v>2</v>
      </c>
      <c r="K51" s="25"/>
      <c r="L51" s="25"/>
    </row>
    <row r="52" spans="2:20" hidden="1" x14ac:dyDescent="0.25">
      <c r="B52" s="59"/>
      <c r="C52" s="59"/>
      <c r="D52" s="59"/>
      <c r="E52" s="59"/>
      <c r="F52" s="59"/>
      <c r="G52" s="59"/>
      <c r="H52" s="25"/>
      <c r="I52" s="25"/>
      <c r="J52" s="25"/>
      <c r="K52" s="25"/>
      <c r="L52" s="25"/>
    </row>
    <row r="53" spans="2:20" hidden="1" x14ac:dyDescent="0.25">
      <c r="H53" s="25"/>
      <c r="I53" s="25"/>
      <c r="J53" s="25"/>
      <c r="K53" s="25"/>
      <c r="L53" s="25"/>
    </row>
    <row r="55" spans="2:20" ht="34.5" customHeight="1" x14ac:dyDescent="0.25">
      <c r="B55" s="52" t="s">
        <v>80</v>
      </c>
      <c r="C55" s="53"/>
      <c r="D55" s="57" t="s">
        <v>82</v>
      </c>
      <c r="E55" s="58"/>
      <c r="F55" s="60" t="s">
        <v>85</v>
      </c>
      <c r="G55" s="60"/>
      <c r="H55" s="61" t="s">
        <v>102</v>
      </c>
      <c r="J55" s="35" t="s">
        <v>72</v>
      </c>
      <c r="K55" s="41"/>
      <c r="L55" s="41"/>
      <c r="M55" s="41"/>
      <c r="N55" s="42"/>
      <c r="O55" s="36"/>
      <c r="Q55" s="15" t="s">
        <v>73</v>
      </c>
      <c r="S55" s="35" t="s">
        <v>74</v>
      </c>
      <c r="T55" s="36"/>
    </row>
    <row r="56" spans="2:20" ht="24.75" customHeight="1" x14ac:dyDescent="0.25">
      <c r="B56" s="37" t="s">
        <v>52</v>
      </c>
      <c r="C56" s="64" t="s">
        <v>81</v>
      </c>
      <c r="D56" s="54" t="s">
        <v>83</v>
      </c>
      <c r="E56" s="45" t="s">
        <v>84</v>
      </c>
      <c r="F56" s="43" t="s">
        <v>86</v>
      </c>
      <c r="G56" s="43" t="s">
        <v>87</v>
      </c>
      <c r="H56" s="62"/>
      <c r="J56" s="37" t="s">
        <v>33</v>
      </c>
      <c r="K56" s="43" t="s">
        <v>36</v>
      </c>
      <c r="L56" s="43" t="s">
        <v>43</v>
      </c>
      <c r="M56" s="43" t="s">
        <v>38</v>
      </c>
      <c r="N56" s="45" t="s">
        <v>44</v>
      </c>
      <c r="O56" s="39" t="s">
        <v>68</v>
      </c>
      <c r="Q56" s="33" t="s">
        <v>69</v>
      </c>
      <c r="S56" s="37" t="s">
        <v>70</v>
      </c>
      <c r="T56" s="39" t="s">
        <v>71</v>
      </c>
    </row>
    <row r="57" spans="2:20" ht="51" customHeight="1" x14ac:dyDescent="0.25">
      <c r="B57" s="38"/>
      <c r="C57" s="65"/>
      <c r="D57" s="55"/>
      <c r="E57" s="56"/>
      <c r="F57" s="44"/>
      <c r="G57" s="44"/>
      <c r="H57" s="63"/>
      <c r="J57" s="38"/>
      <c r="K57" s="44"/>
      <c r="L57" s="44"/>
      <c r="M57" s="44"/>
      <c r="N57" s="46"/>
      <c r="O57" s="40"/>
      <c r="Q57" s="34"/>
      <c r="S57" s="38"/>
      <c r="T57" s="40"/>
    </row>
    <row r="58" spans="2:20" x14ac:dyDescent="0.25">
      <c r="B58" s="27"/>
      <c r="C58" s="28"/>
      <c r="D58" s="8" t="str">
        <f>+IFERROR(VLOOKUP(C58,'Linea base'!$B$16:$E$22,4,FALSE),"")</f>
        <v/>
      </c>
      <c r="E58" s="30"/>
      <c r="F58" s="13" t="str">
        <f>+IFERROR(VLOOKUP(C58,'Linea base'!$B$16:$C$22,2,FALSE),"")</f>
        <v/>
      </c>
      <c r="G58" s="27"/>
      <c r="H58" s="27"/>
      <c r="J58" s="11">
        <f>+IF($C$7&gt;0,IFERROR(VLOOKUP($C58,'Linea base'!$B$16:$K$22,6,FALSE),0),0)</f>
        <v>0</v>
      </c>
      <c r="K58" s="11">
        <f>+IF($D$7&gt;0,IFERROR(VLOOKUP($C58,'Linea base'!$B$16:$K$22,7,FALSE),0),0)</f>
        <v>0</v>
      </c>
      <c r="L58" s="11">
        <f>+IF($E$7&gt;0,IFERROR(VLOOKUP($C58,'Linea base'!$B$16:$K$22,8,FALSE),0),0)</f>
        <v>0</v>
      </c>
      <c r="M58" s="11">
        <f>+IF($F$7&gt;0,IFERROR(VLOOKUP($C58,'Linea base'!$B$16:$K$22,9,FALSE),0),0)</f>
        <v>0</v>
      </c>
      <c r="N58" s="11">
        <f>+IF($G$7&gt;0,IFERROR(VLOOKUP($C58,'Linea base'!$B$16:$K$22,10,FALSE),0),0)</f>
        <v>0</v>
      </c>
      <c r="O58" s="27"/>
      <c r="Q58" s="11">
        <f>+IFERROR(($C$7*J58)+($D$7*K58)+($E$7*L58)+($F$7*M58)+($G$7*N58)+($H$7*O58),0)</f>
        <v>0</v>
      </c>
      <c r="S58" s="11">
        <f>+IFERROR(IF(D58=" N/A",F58*(Q58*(H58/100)),IF(E58&gt;0,F58*(Q58*(H58/100))*(E58/60),F58*(Q58*(H58/100))*(D58/60))),0)</f>
        <v>0</v>
      </c>
      <c r="T58" s="11">
        <f>+IFERROR(IF(D58=" N/A",G58*(Q58*(H58/100)),IF(E58&gt;0,G58*(Q58*(H58/100))*(E58/60),G58*(Q58*(H58/100))*(D58/60))),0)</f>
        <v>0</v>
      </c>
    </row>
    <row r="59" spans="2:20" x14ac:dyDescent="0.25">
      <c r="B59" s="27"/>
      <c r="C59" s="28"/>
      <c r="D59" s="8"/>
      <c r="E59" s="30"/>
      <c r="F59" s="13"/>
      <c r="G59" s="27"/>
      <c r="H59" s="27"/>
      <c r="J59" s="11">
        <f>+IF($C$7&gt;0,IFERROR(VLOOKUP($C59,'Linea base'!$B$16:$K$22,6,FALSE),0),0)</f>
        <v>0</v>
      </c>
      <c r="K59" s="11">
        <f>+IF($D$7&gt;0,IFERROR(VLOOKUP($C59,'Linea base'!$B$16:$K$22,7,FALSE),0),0)</f>
        <v>0</v>
      </c>
      <c r="L59" s="11">
        <f>+IF($E$7&gt;0,IFERROR(VLOOKUP($C59,'Linea base'!$B$16:$K$22,8,FALSE),0),0)</f>
        <v>0</v>
      </c>
      <c r="M59" s="11">
        <f>+IF($F$7&gt;0,IFERROR(VLOOKUP($C59,'Linea base'!$B$16:$K$22,9,FALSE),0),0)</f>
        <v>0</v>
      </c>
      <c r="N59" s="11">
        <f>+IF($G$7&gt;0,IFERROR(VLOOKUP($C59,'Linea base'!$B$16:$K$22,10,FALSE),0),0)</f>
        <v>0</v>
      </c>
      <c r="O59" s="27"/>
      <c r="Q59" s="11">
        <f t="shared" ref="Q59:Q63" si="5">+IFERROR(($C$7*J59)+($D$7*K59)+($E$7*L59)+($F$7*M59)+($G$7*N59)+($H$7*O59),0)</f>
        <v>0</v>
      </c>
      <c r="S59" s="11">
        <f t="shared" ref="S59:S63" si="6">+IFERROR(IF(D59=" N/A",F59*(Q59*(H59/100)),IF(E59&gt;0,F59*(Q59*(H59/100))*(E59/60),F59*(Q59*(H59/100))*(D59/60))),0)</f>
        <v>0</v>
      </c>
      <c r="T59" s="11">
        <f t="shared" ref="T59:T63" si="7">+IFERROR(IF(D59=" N/A",G59*(Q59*(H59/100)),IF(E59&gt;0,G59*(Q59*(H59/100))*(E59/60),G59*(Q59*(H59/100))*(D59/60))),0)</f>
        <v>0</v>
      </c>
    </row>
    <row r="60" spans="2:20" x14ac:dyDescent="0.25">
      <c r="B60" s="27"/>
      <c r="C60" s="28"/>
      <c r="D60" s="8" t="str">
        <f>+IFERROR(VLOOKUP(C60,'Linea base'!$B$16:$E$22,4,FALSE),"")</f>
        <v/>
      </c>
      <c r="E60" s="30"/>
      <c r="F60" s="13" t="str">
        <f>+IFERROR(VLOOKUP(C60,'Linea base'!$B$16:$C$22,2,FALSE),"")</f>
        <v/>
      </c>
      <c r="G60" s="27"/>
      <c r="H60" s="27"/>
      <c r="J60" s="11">
        <f>+IF($C$7&gt;0,IFERROR(VLOOKUP($C60,'Linea base'!$B$16:$K$22,6,FALSE),0),0)</f>
        <v>0</v>
      </c>
      <c r="K60" s="11">
        <f>+IF($D$7&gt;0,IFERROR(VLOOKUP($C60,'Linea base'!$B$16:$K$22,7,FALSE),0),0)</f>
        <v>0</v>
      </c>
      <c r="L60" s="11">
        <f>+IF($E$7&gt;0,IFERROR(VLOOKUP($C60,'Linea base'!$B$16:$K$22,8,FALSE),0),0)</f>
        <v>0</v>
      </c>
      <c r="M60" s="11">
        <f>+IF($F$7&gt;0,IFERROR(VLOOKUP($C60,'Linea base'!$B$16:$K$22,9,FALSE),0),0)</f>
        <v>0</v>
      </c>
      <c r="N60" s="11">
        <f>+IF($G$7&gt;0,IFERROR(VLOOKUP($C60,'Linea base'!$B$16:$K$22,10,FALSE),0),0)</f>
        <v>0</v>
      </c>
      <c r="O60" s="27"/>
      <c r="Q60" s="11">
        <f t="shared" si="5"/>
        <v>0</v>
      </c>
      <c r="S60" s="11">
        <f t="shared" si="6"/>
        <v>0</v>
      </c>
      <c r="T60" s="11">
        <f t="shared" si="7"/>
        <v>0</v>
      </c>
    </row>
    <row r="61" spans="2:20" x14ac:dyDescent="0.25">
      <c r="B61" s="27"/>
      <c r="C61" s="28"/>
      <c r="D61" s="8" t="str">
        <f>+IFERROR(VLOOKUP(C61,'Linea base'!$B$16:$E$22,4,FALSE),"")</f>
        <v/>
      </c>
      <c r="E61" s="30"/>
      <c r="F61" s="13" t="str">
        <f>+IFERROR(VLOOKUP(C61,'Linea base'!$B$16:$C$22,2,FALSE),"")</f>
        <v/>
      </c>
      <c r="G61" s="27"/>
      <c r="H61" s="27"/>
      <c r="J61" s="11">
        <f>+IF($C$7&gt;0,IFERROR(VLOOKUP($C61,'Linea base'!$B$16:$K$22,6,FALSE),0),0)</f>
        <v>0</v>
      </c>
      <c r="K61" s="11">
        <f>+IF($D$7&gt;0,IFERROR(VLOOKUP($C61,'Linea base'!$B$16:$K$22,7,FALSE),0),0)</f>
        <v>0</v>
      </c>
      <c r="L61" s="11">
        <f>+IF($E$7&gt;0,IFERROR(VLOOKUP($C61,'Linea base'!$B$16:$K$22,8,FALSE),0),0)</f>
        <v>0</v>
      </c>
      <c r="M61" s="11">
        <f>+IF($F$7&gt;0,IFERROR(VLOOKUP($C61,'Linea base'!$B$16:$K$22,9,FALSE),0),0)</f>
        <v>0</v>
      </c>
      <c r="N61" s="11">
        <f>+IF($G$7&gt;0,IFERROR(VLOOKUP($C61,'Linea base'!$B$16:$K$22,10,FALSE),0),0)</f>
        <v>0</v>
      </c>
      <c r="O61" s="27"/>
      <c r="Q61" s="11">
        <f t="shared" si="5"/>
        <v>0</v>
      </c>
      <c r="S61" s="11">
        <f t="shared" si="6"/>
        <v>0</v>
      </c>
      <c r="T61" s="11">
        <f t="shared" si="7"/>
        <v>0</v>
      </c>
    </row>
    <row r="62" spans="2:20" x14ac:dyDescent="0.25">
      <c r="B62" s="27"/>
      <c r="C62" s="28"/>
      <c r="D62" s="8" t="str">
        <f>+IFERROR(VLOOKUP(C62,'Linea base'!$B$16:$E$22,4,FALSE),"")</f>
        <v/>
      </c>
      <c r="E62" s="30"/>
      <c r="F62" s="13" t="str">
        <f>+IFERROR(VLOOKUP(C62,'Linea base'!$B$16:$C$22,2,FALSE),"")</f>
        <v/>
      </c>
      <c r="G62" s="27"/>
      <c r="H62" s="27"/>
      <c r="J62" s="11">
        <f>+IF($C$7&gt;0,IFERROR(VLOOKUP($C62,'Linea base'!$B$16:$K$22,6,FALSE),0),0)</f>
        <v>0</v>
      </c>
      <c r="K62" s="11">
        <f>+IF($D$7&gt;0,IFERROR(VLOOKUP($C62,'Linea base'!$B$16:$K$22,7,FALSE),0),0)</f>
        <v>0</v>
      </c>
      <c r="L62" s="11">
        <f>+IF($E$7&gt;0,IFERROR(VLOOKUP($C62,'Linea base'!$B$16:$K$22,8,FALSE),0),0)</f>
        <v>0</v>
      </c>
      <c r="M62" s="11">
        <f>+IF($F$7&gt;0,IFERROR(VLOOKUP($C62,'Linea base'!$B$16:$K$22,9,FALSE),0),0)</f>
        <v>0</v>
      </c>
      <c r="N62" s="11">
        <f>+IF($G$7&gt;0,IFERROR(VLOOKUP($C62,'Linea base'!$B$16:$K$22,10,FALSE),0),0)</f>
        <v>0</v>
      </c>
      <c r="O62" s="27"/>
      <c r="Q62" s="11">
        <f t="shared" si="5"/>
        <v>0</v>
      </c>
      <c r="S62" s="11">
        <f t="shared" si="6"/>
        <v>0</v>
      </c>
      <c r="T62" s="11">
        <f t="shared" si="7"/>
        <v>0</v>
      </c>
    </row>
    <row r="63" spans="2:20" x14ac:dyDescent="0.25">
      <c r="B63" s="27"/>
      <c r="C63" s="28"/>
      <c r="D63" s="8" t="str">
        <f>+IFERROR(VLOOKUP(C63,'Linea base'!$B$16:$E$22,4,FALSE),"")</f>
        <v/>
      </c>
      <c r="E63" s="30"/>
      <c r="F63" s="13" t="str">
        <f>+IFERROR(VLOOKUP(C63,'Linea base'!$B$16:$C$22,2,FALSE),"")</f>
        <v/>
      </c>
      <c r="G63" s="27"/>
      <c r="H63" s="29"/>
      <c r="J63" s="11">
        <f>+IF($C$7&gt;0,IFERROR(VLOOKUP($C63,'Linea base'!$B$16:$K$22,6,FALSE),0),0)</f>
        <v>0</v>
      </c>
      <c r="K63" s="11">
        <f>+IF($D$7&gt;0,IFERROR(VLOOKUP($C63,'Linea base'!$B$16:$K$22,7,FALSE),0),0)</f>
        <v>0</v>
      </c>
      <c r="L63" s="11">
        <f>+IF($E$7&gt;0,IFERROR(VLOOKUP($C63,'Linea base'!$B$16:$K$22,8,FALSE),0),0)</f>
        <v>0</v>
      </c>
      <c r="M63" s="11">
        <f>+IF($F$7&gt;0,IFERROR(VLOOKUP($C63,'Linea base'!$B$16:$K$22,9,FALSE),0),0)</f>
        <v>0</v>
      </c>
      <c r="N63" s="11">
        <f>+IF($G$7&gt;0,IFERROR(VLOOKUP($C63,'Linea base'!$B$16:$K$22,10,FALSE),0),0)</f>
        <v>0</v>
      </c>
      <c r="O63" s="27"/>
      <c r="Q63" s="11">
        <f t="shared" si="5"/>
        <v>0</v>
      </c>
      <c r="S63" s="11">
        <f t="shared" si="6"/>
        <v>0</v>
      </c>
      <c r="T63" s="11">
        <f t="shared" si="7"/>
        <v>0</v>
      </c>
    </row>
    <row r="64" spans="2:20" x14ac:dyDescent="0.25">
      <c r="B64" s="47" t="s">
        <v>88</v>
      </c>
      <c r="C64" s="48"/>
      <c r="D64" s="49"/>
      <c r="E64" s="49"/>
      <c r="F64" s="48"/>
      <c r="G64" s="48"/>
      <c r="H64" s="17">
        <f>+SUM(S58:S63)*$D$14</f>
        <v>0</v>
      </c>
    </row>
    <row r="65" spans="2:8" x14ac:dyDescent="0.25">
      <c r="B65" s="50" t="s">
        <v>59</v>
      </c>
      <c r="C65" s="51"/>
      <c r="D65" s="51"/>
      <c r="E65" s="51"/>
      <c r="F65" s="51"/>
      <c r="G65" s="51"/>
      <c r="H65" s="17">
        <f>+SUM(T58:T63)*$D$14</f>
        <v>0</v>
      </c>
    </row>
  </sheetData>
  <sheetProtection algorithmName="SHA-512" hashValue="4mcbgW2E+Bo0cZzd2esZxgrU0BFAeP1J9TxuywMS7hVaoC3lsNmCTW/PAFtmmxg7y/agCdEUsqLMradmZgstDA==" saltValue="zhWCouk/cu5+TDi+2aUvNQ==" spinCount="100000" sheet="1" objects="1" scenarios="1"/>
  <mergeCells count="64">
    <mergeCell ref="S34:S35"/>
    <mergeCell ref="T34:T35"/>
    <mergeCell ref="J33:O33"/>
    <mergeCell ref="S33:T33"/>
    <mergeCell ref="J34:J35"/>
    <mergeCell ref="K34:K35"/>
    <mergeCell ref="L34:L35"/>
    <mergeCell ref="M34:M35"/>
    <mergeCell ref="O34:O35"/>
    <mergeCell ref="Q34:Q35"/>
    <mergeCell ref="H33:H35"/>
    <mergeCell ref="B42:G42"/>
    <mergeCell ref="B43:G43"/>
    <mergeCell ref="D36:E36"/>
    <mergeCell ref="D37:E37"/>
    <mergeCell ref="D38:E38"/>
    <mergeCell ref="D39:E39"/>
    <mergeCell ref="D40:E40"/>
    <mergeCell ref="D41:E41"/>
    <mergeCell ref="D34:E35"/>
    <mergeCell ref="F34:F35"/>
    <mergeCell ref="G34:G35"/>
    <mergeCell ref="B33:E33"/>
    <mergeCell ref="F33:G33"/>
    <mergeCell ref="B10:C11"/>
    <mergeCell ref="D10:D11"/>
    <mergeCell ref="B14:C15"/>
    <mergeCell ref="D14:D15"/>
    <mergeCell ref="N34:N35"/>
    <mergeCell ref="D18:D19"/>
    <mergeCell ref="B18:C21"/>
    <mergeCell ref="D20:D21"/>
    <mergeCell ref="F18:G21"/>
    <mergeCell ref="H19:I19"/>
    <mergeCell ref="H20:I21"/>
    <mergeCell ref="H18:I18"/>
    <mergeCell ref="J20:J21"/>
    <mergeCell ref="B24:G30"/>
    <mergeCell ref="B34:B35"/>
    <mergeCell ref="C34:C35"/>
    <mergeCell ref="B46:G52"/>
    <mergeCell ref="F55:G55"/>
    <mergeCell ref="H55:H57"/>
    <mergeCell ref="B56:B57"/>
    <mergeCell ref="C56:C57"/>
    <mergeCell ref="F56:F57"/>
    <mergeCell ref="G56:G57"/>
    <mergeCell ref="B64:G64"/>
    <mergeCell ref="B65:G65"/>
    <mergeCell ref="B55:C55"/>
    <mergeCell ref="D56:D57"/>
    <mergeCell ref="E56:E57"/>
    <mergeCell ref="D55:E55"/>
    <mergeCell ref="Q56:Q57"/>
    <mergeCell ref="S55:T55"/>
    <mergeCell ref="S56:S57"/>
    <mergeCell ref="T56:T57"/>
    <mergeCell ref="J55:O55"/>
    <mergeCell ref="J56:J57"/>
    <mergeCell ref="K56:K57"/>
    <mergeCell ref="L56:L57"/>
    <mergeCell ref="M56:M57"/>
    <mergeCell ref="N56:N57"/>
    <mergeCell ref="O56:O57"/>
  </mergeCells>
  <conditionalFormatting sqref="D18:D19">
    <cfRule type="containsText" dxfId="1" priority="1" operator="containsText" text="No">
      <formula>NOT(ISERROR(SEARCH("No",D18)))</formula>
    </cfRule>
    <cfRule type="containsText" dxfId="0" priority="2" operator="containsText" text="Si">
      <formula>NOT(ISERROR(SEARCH("Si",D18)))</formula>
    </cfRule>
  </conditionalFormatting>
  <dataValidations count="4">
    <dataValidation type="list" allowBlank="1" showInputMessage="1" showErrorMessage="1" sqref="D18:D19" xr:uid="{04D38E47-A750-44BA-9D63-8D46CDB8504D}">
      <formula1>$E$18:$E$19</formula1>
    </dataValidation>
    <dataValidation type="list" allowBlank="1" showInputMessage="1" showErrorMessage="1" sqref="C36:C41" xr:uid="{BF627559-52CF-4801-AD7B-63559269278F}">
      <formula1>$I$24:$I$26</formula1>
    </dataValidation>
    <dataValidation type="list" allowBlank="1" showInputMessage="1" showErrorMessage="1" sqref="D36:E41" xr:uid="{4DEAC6DF-FD64-44E6-B091-5EB0C142B1BE}">
      <formula1>$K$24:$K$30</formula1>
    </dataValidation>
    <dataValidation type="list" allowBlank="1" showInputMessage="1" showErrorMessage="1" sqref="C58:C63" xr:uid="{7BCC54B7-7929-429C-9AD7-0FFDB373382D}">
      <formula1>$J$45:$J$51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0DB6-7224-4672-A65C-B4DC5DE84F3C}">
  <dimension ref="B3:G12"/>
  <sheetViews>
    <sheetView workbookViewId="0">
      <selection activeCell="G6" sqref="G6"/>
    </sheetView>
  </sheetViews>
  <sheetFormatPr baseColWidth="10" defaultColWidth="11.42578125" defaultRowHeight="15" x14ac:dyDescent="0.25"/>
  <cols>
    <col min="1" max="1" width="11.42578125" style="18"/>
    <col min="2" max="2" width="16.5703125" style="18" customWidth="1"/>
    <col min="3" max="3" width="15.5703125" style="18" customWidth="1"/>
    <col min="4" max="4" width="17.42578125" style="18" customWidth="1"/>
    <col min="5" max="5" width="14.85546875" style="18" customWidth="1"/>
    <col min="6" max="6" width="15" style="18" customWidth="1"/>
    <col min="7" max="7" width="16.140625" style="18" customWidth="1"/>
    <col min="8" max="16384" width="11.42578125" style="18"/>
  </cols>
  <sheetData>
    <row r="3" spans="2:7" ht="15" customHeight="1" x14ac:dyDescent="0.25">
      <c r="B3" s="52" t="s">
        <v>89</v>
      </c>
      <c r="C3" s="86"/>
      <c r="D3" s="86"/>
      <c r="E3" s="57" t="s">
        <v>93</v>
      </c>
      <c r="F3" s="78"/>
      <c r="G3" s="58"/>
    </row>
    <row r="4" spans="2:7" x14ac:dyDescent="0.25">
      <c r="B4" s="37" t="s">
        <v>90</v>
      </c>
      <c r="C4" s="43" t="s">
        <v>91</v>
      </c>
      <c r="D4" s="54" t="s">
        <v>92</v>
      </c>
      <c r="E4" s="45" t="s">
        <v>94</v>
      </c>
      <c r="F4" s="43" t="s">
        <v>95</v>
      </c>
      <c r="G4" s="43" t="s">
        <v>99</v>
      </c>
    </row>
    <row r="5" spans="2:7" ht="36" customHeight="1" x14ac:dyDescent="0.25">
      <c r="B5" s="85"/>
      <c r="C5" s="45"/>
      <c r="D5" s="55"/>
      <c r="E5" s="56"/>
      <c r="F5" s="45"/>
      <c r="G5" s="45"/>
    </row>
    <row r="6" spans="2:7" x14ac:dyDescent="0.25">
      <c r="B6" s="17">
        <f>+'Calculador '!H42</f>
        <v>0</v>
      </c>
      <c r="C6" s="17">
        <f>+'Calculador '!H64</f>
        <v>0</v>
      </c>
      <c r="D6" s="23">
        <f>+SUM(B6:C6)</f>
        <v>0</v>
      </c>
      <c r="E6" s="22">
        <f>+'Calculador '!H43</f>
        <v>0</v>
      </c>
      <c r="F6" s="22">
        <f>+'Calculador '!H65</f>
        <v>0</v>
      </c>
      <c r="G6" s="22">
        <f>+SUM(E6:F6)</f>
        <v>0</v>
      </c>
    </row>
    <row r="7" spans="2:7" x14ac:dyDescent="0.25">
      <c r="B7" s="19"/>
      <c r="C7" s="19"/>
      <c r="D7" s="20"/>
      <c r="E7" s="21"/>
      <c r="F7" s="21"/>
      <c r="G7" s="21"/>
    </row>
    <row r="8" spans="2:7" x14ac:dyDescent="0.25">
      <c r="B8" s="19"/>
      <c r="C8" s="19"/>
      <c r="D8" s="20"/>
      <c r="E8" s="21"/>
      <c r="F8" s="21"/>
      <c r="G8" s="21"/>
    </row>
    <row r="10" spans="2:7" x14ac:dyDescent="0.25">
      <c r="B10" s="35" t="s">
        <v>96</v>
      </c>
      <c r="C10" s="41"/>
      <c r="D10" s="41"/>
      <c r="E10" s="41"/>
      <c r="F10" s="36"/>
      <c r="G10" s="22">
        <f>+SUM(D6:D9)</f>
        <v>0</v>
      </c>
    </row>
    <row r="11" spans="2:7" x14ac:dyDescent="0.25">
      <c r="B11" s="79" t="s">
        <v>97</v>
      </c>
      <c r="C11" s="80"/>
      <c r="D11" s="80"/>
      <c r="E11" s="80"/>
      <c r="F11" s="81"/>
      <c r="G11" s="22">
        <f>+SUM(G6:G8)</f>
        <v>0</v>
      </c>
    </row>
    <row r="12" spans="2:7" x14ac:dyDescent="0.25">
      <c r="B12" s="82" t="s">
        <v>98</v>
      </c>
      <c r="C12" s="83"/>
      <c r="D12" s="83"/>
      <c r="E12" s="83"/>
      <c r="F12" s="84"/>
      <c r="G12" s="24" t="e">
        <f>1-(G11/G10)</f>
        <v>#DIV/0!</v>
      </c>
    </row>
  </sheetData>
  <sheetProtection algorithmName="SHA-512" hashValue="Zb16eOvjKWWLdywzwbqkKKhcA+qpe9eGc/eSPy88BNOa7CQAFiKlYJuytIl7UJtlAypLjFxPBRPZX40+5ZLN/Q==" saltValue="3RhnktOPLEwsbJ0dceu0cg==" spinCount="100000" sheet="1" objects="1" scenarios="1"/>
  <mergeCells count="11">
    <mergeCell ref="E3:G3"/>
    <mergeCell ref="B10:F10"/>
    <mergeCell ref="B11:F11"/>
    <mergeCell ref="B12:F12"/>
    <mergeCell ref="B4:B5"/>
    <mergeCell ref="C4:C5"/>
    <mergeCell ref="D4:D5"/>
    <mergeCell ref="E4:E5"/>
    <mergeCell ref="F4:F5"/>
    <mergeCell ref="G4:G5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base</vt:lpstr>
      <vt:lpstr>Calculador </vt:lpstr>
      <vt:lpstr>Resumen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rodriguez gordillo</dc:creator>
  <cp:lastModifiedBy>July Esperanza Gonzalez Monsalve</cp:lastModifiedBy>
  <dcterms:created xsi:type="dcterms:W3CDTF">2020-11-09T15:23:23Z</dcterms:created>
  <dcterms:modified xsi:type="dcterms:W3CDTF">2024-12-24T14:46:01Z</dcterms:modified>
</cp:coreProperties>
</file>