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10.xml" ContentType="application/vnd.ms-excel.controlproperties+xml"/>
  <Override PartName="/xl/drawings/drawing5.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6.xml" ContentType="application/vnd.openxmlformats-officedocument.drawing+xml"/>
  <Override PartName="/xl/ctrlProps/ctrlProp16.xml" ContentType="application/vnd.ms-excel.controlpropertie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66925"/>
  <mc:AlternateContent xmlns:mc="http://schemas.openxmlformats.org/markup-compatibility/2006">
    <mc:Choice Requires="x15">
      <x15ac:absPath xmlns:x15ac="http://schemas.microsoft.com/office/spreadsheetml/2010/11/ac" url="https://minviviendagovco-my.sharepoint.com/personal/apolo_minvivienda_gov_co/Documents/Archivos de chat de Microsoft Teams/"/>
    </mc:Choice>
  </mc:AlternateContent>
  <xr:revisionPtr revIDLastSave="0" documentId="8_{0C6A944B-AE4E-454C-A288-9255155A281E}" xr6:coauthVersionLast="41" xr6:coauthVersionMax="41" xr10:uidLastSave="{00000000-0000-0000-0000-000000000000}"/>
  <bookViews>
    <workbookView xWindow="-120" yWindow="-120" windowWidth="24240" windowHeight="13140" tabRatio="818" activeTab="2" xr2:uid="{E86A7EDC-367D-41C9-9C54-A4BF90FD76E6}"/>
  </bookViews>
  <sheets>
    <sheet name="Portada" sheetId="14" r:id="rId1"/>
    <sheet name="Instrucciones" sheetId="15" r:id="rId2"/>
    <sheet name="Datos de entrada" sheetId="2" r:id="rId3"/>
    <sheet name="Municipios Proyecto Regional" sheetId="21" state="hidden" r:id="rId4"/>
    <sheet name="Resultados" sheetId="5" state="hidden" r:id="rId5"/>
    <sheet name="Interpretación de Resultados" sheetId="27" r:id="rId6"/>
    <sheet name="Cálculo" sheetId="16" state="hidden" r:id="rId7"/>
    <sheet name="Ponderaciones" sheetId="17" state="hidden" r:id="rId8"/>
    <sheet name="Fichas técnicas Tecnologías" sheetId="7" state="hidden" r:id="rId9"/>
    <sheet name="CDF y CRT-TMB" sheetId="23" state="hidden" r:id="rId10"/>
    <sheet name="CDF y CRT-DA" sheetId="26" state="hidden" r:id="rId11"/>
    <sheet name="Valoración" sheetId="10" state="hidden" r:id="rId12"/>
    <sheet name="Costos de operación" sheetId="20" state="hidden" r:id="rId13"/>
    <sheet name="Costos de inversión" sheetId="19" state="hidden" r:id="rId14"/>
    <sheet name="Información municipios" sheetId="12" state="hidden" r:id="rId15"/>
    <sheet name="Información referencia" sheetId="11" state="hidden" r:id="rId16"/>
    <sheet name="Medidas Escenarios" sheetId="6" state="hidden" r:id="rId17"/>
    <sheet name="Listas" sheetId="3" state="hidden" r:id="rId18"/>
    <sheet name="Nacional_Área" sheetId="24" state="hidden" r:id="rId19"/>
  </sheets>
  <definedNames>
    <definedName name="_Toc68549346" localSheetId="6">Cálculo!$C$160</definedName>
    <definedName name="_Toc68549346" localSheetId="4">Resultados!#REF!</definedName>
    <definedName name="_xlnm.Print_Area" localSheetId="2">'Datos de entrada'!$A$1:$D$62</definedName>
    <definedName name="_xlnm.Print_Area" localSheetId="4">Resultados!$A$1:$C$395</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363" i="5" l="1"/>
  <c r="A350" i="5"/>
  <c r="A325" i="5"/>
  <c r="A324" i="5"/>
  <c r="D13" i="16" l="1"/>
  <c r="D14" i="16"/>
  <c r="D15" i="16"/>
  <c r="D16" i="16"/>
  <c r="D17" i="16"/>
  <c r="D18" i="16"/>
  <c r="D19" i="16"/>
  <c r="D20" i="16"/>
  <c r="D21" i="16"/>
  <c r="D22" i="16"/>
  <c r="D23" i="16"/>
  <c r="D24" i="16"/>
  <c r="D25" i="16"/>
  <c r="D26" i="16"/>
  <c r="D27" i="16"/>
  <c r="D28" i="16"/>
  <c r="D29" i="16"/>
  <c r="D30" i="16"/>
  <c r="D31" i="16"/>
  <c r="D32" i="16"/>
  <c r="D33" i="16"/>
  <c r="D34" i="16"/>
  <c r="D35" i="16"/>
  <c r="D36" i="16"/>
  <c r="D37" i="16"/>
  <c r="D38" i="16"/>
  <c r="D39" i="16"/>
  <c r="D40" i="16"/>
  <c r="D41" i="16"/>
  <c r="D42" i="16"/>
  <c r="D43" i="16"/>
  <c r="D44" i="16"/>
  <c r="D45" i="16"/>
  <c r="D46" i="16"/>
  <c r="D47" i="16"/>
  <c r="D48" i="16"/>
  <c r="D49" i="16"/>
  <c r="D50" i="16"/>
  <c r="D51" i="16"/>
  <c r="D52" i="16"/>
  <c r="D53" i="16"/>
  <c r="D54" i="16"/>
  <c r="D55" i="16"/>
  <c r="D56" i="16"/>
  <c r="D57" i="16"/>
  <c r="D58" i="16"/>
  <c r="D59" i="16"/>
  <c r="D60" i="16"/>
  <c r="D61" i="16"/>
  <c r="D62" i="16"/>
  <c r="D63" i="16"/>
  <c r="D64" i="16"/>
  <c r="D65" i="16"/>
  <c r="D66" i="16"/>
  <c r="D67" i="16"/>
  <c r="D68" i="16"/>
  <c r="D69" i="16"/>
  <c r="D70" i="16"/>
  <c r="D71" i="16"/>
  <c r="D72" i="16"/>
  <c r="D73" i="16"/>
  <c r="D74" i="16"/>
  <c r="D75" i="16"/>
  <c r="D76" i="16"/>
  <c r="D77" i="16"/>
  <c r="D78" i="16"/>
  <c r="D79" i="16"/>
  <c r="D80" i="16"/>
  <c r="D81" i="16"/>
  <c r="D82" i="16"/>
  <c r="D83" i="16"/>
  <c r="D84" i="16"/>
  <c r="D85" i="16"/>
  <c r="D86" i="16"/>
  <c r="D87" i="16"/>
  <c r="D88" i="16"/>
  <c r="D89" i="16"/>
  <c r="D90" i="16"/>
  <c r="D91" i="16"/>
  <c r="D92" i="16"/>
  <c r="D93" i="16"/>
  <c r="D94" i="16"/>
  <c r="D95" i="16"/>
  <c r="D96" i="16"/>
  <c r="D97" i="16"/>
  <c r="D98" i="16"/>
  <c r="D99" i="16"/>
  <c r="D100" i="16"/>
  <c r="D101" i="16"/>
  <c r="D102" i="16"/>
  <c r="D103" i="16"/>
  <c r="D104" i="16"/>
  <c r="D105" i="16"/>
  <c r="D106" i="16"/>
  <c r="D107" i="16"/>
  <c r="D108" i="16"/>
  <c r="D109" i="16"/>
  <c r="D110" i="16"/>
  <c r="D111" i="16"/>
  <c r="D112" i="16"/>
  <c r="D113" i="16"/>
  <c r="D114" i="16"/>
  <c r="D115" i="16"/>
  <c r="D116" i="16"/>
  <c r="D117" i="16"/>
  <c r="D118" i="16"/>
  <c r="D119" i="16"/>
  <c r="D120" i="16"/>
  <c r="D121" i="16"/>
  <c r="D3" i="16"/>
  <c r="D4" i="16"/>
  <c r="D5" i="16"/>
  <c r="D6" i="16"/>
  <c r="D7" i="16"/>
  <c r="D8" i="16"/>
  <c r="D9" i="16"/>
  <c r="D10" i="16"/>
  <c r="D11" i="16"/>
  <c r="D12" i="16"/>
  <c r="B16" i="19"/>
  <c r="B17" i="19" s="1"/>
  <c r="B18" i="19" s="1"/>
  <c r="B19" i="19" s="1"/>
  <c r="B20" i="19" s="1"/>
  <c r="B21" i="19" s="1"/>
  <c r="B22" i="19" s="1"/>
  <c r="B23" i="19" s="1"/>
  <c r="B24" i="19" s="1"/>
  <c r="B25" i="19" s="1"/>
  <c r="B26" i="19" s="1"/>
  <c r="B27" i="19" s="1"/>
  <c r="B28" i="19" s="1"/>
  <c r="B29" i="19" s="1"/>
  <c r="B30" i="19" s="1"/>
  <c r="B31" i="19" s="1"/>
  <c r="B32" i="19" s="1"/>
  <c r="B33" i="19" s="1"/>
  <c r="B34" i="19" s="1"/>
  <c r="B35" i="19" s="1"/>
  <c r="B36" i="19" s="1"/>
  <c r="B37" i="19" s="1"/>
  <c r="B38" i="19" s="1"/>
  <c r="B39" i="19" s="1"/>
  <c r="B40" i="19" s="1"/>
  <c r="B41" i="19" s="1"/>
  <c r="B42" i="19" s="1"/>
  <c r="B43" i="19" s="1"/>
  <c r="B44" i="19" s="1"/>
  <c r="B45" i="19" s="1"/>
  <c r="B46" i="19" s="1"/>
  <c r="B47" i="19" s="1"/>
  <c r="B48" i="19" s="1"/>
  <c r="B49" i="19" s="1"/>
  <c r="B50" i="19" s="1"/>
  <c r="B51" i="19" s="1"/>
  <c r="B52" i="19" s="1"/>
  <c r="B53" i="19" s="1"/>
  <c r="B54" i="19" s="1"/>
  <c r="B55" i="19" s="1"/>
  <c r="B56" i="19" s="1"/>
  <c r="B57" i="19" s="1"/>
  <c r="B58" i="19" s="1"/>
  <c r="B59" i="19" s="1"/>
  <c r="B60" i="19" s="1"/>
  <c r="B61" i="19" s="1"/>
  <c r="B62" i="19" s="1"/>
  <c r="B63" i="19" s="1"/>
  <c r="B64" i="19" s="1"/>
  <c r="B65" i="19" s="1"/>
  <c r="B66" i="19" s="1"/>
  <c r="B67" i="19" s="1"/>
  <c r="B68" i="19" s="1"/>
  <c r="B69" i="19" s="1"/>
  <c r="B70" i="19" s="1"/>
  <c r="B71" i="19" s="1"/>
  <c r="B72" i="19" s="1"/>
  <c r="B73" i="19" s="1"/>
  <c r="B74" i="19" s="1"/>
  <c r="B75" i="19" s="1"/>
  <c r="B76" i="19" s="1"/>
  <c r="B77" i="19" s="1"/>
  <c r="B78" i="19" s="1"/>
  <c r="B79" i="19" s="1"/>
  <c r="B80" i="19" s="1"/>
  <c r="B81" i="19" s="1"/>
  <c r="B82" i="19" s="1"/>
  <c r="B83" i="19" s="1"/>
  <c r="B84" i="19" s="1"/>
  <c r="B85" i="19" s="1"/>
  <c r="B86" i="19" s="1"/>
  <c r="B87" i="19" s="1"/>
  <c r="B88" i="19" s="1"/>
  <c r="B89" i="19" s="1"/>
  <c r="B90" i="19" s="1"/>
  <c r="B91" i="19" s="1"/>
  <c r="B92" i="19" s="1"/>
  <c r="B93" i="19" s="1"/>
  <c r="B94" i="19" s="1"/>
  <c r="B95" i="19" s="1"/>
  <c r="B96" i="19" s="1"/>
  <c r="B97" i="19" s="1"/>
  <c r="B98" i="19" s="1"/>
  <c r="B99" i="19" s="1"/>
  <c r="B100" i="19" s="1"/>
  <c r="B101" i="19" s="1"/>
  <c r="B102" i="19" s="1"/>
  <c r="B103" i="19" s="1"/>
  <c r="B104" i="19" s="1"/>
  <c r="B105" i="19" s="1"/>
  <c r="B106" i="19" s="1"/>
  <c r="B107" i="19" s="1"/>
  <c r="B108" i="19" s="1"/>
  <c r="B109" i="19" s="1"/>
  <c r="B110" i="19" s="1"/>
  <c r="B111" i="19" s="1"/>
  <c r="B112" i="19" s="1"/>
  <c r="B113" i="19" s="1"/>
  <c r="B114" i="19" s="1"/>
  <c r="B115" i="19" s="1"/>
  <c r="B116" i="19" s="1"/>
  <c r="B117" i="19" s="1"/>
  <c r="B118" i="19" s="1"/>
  <c r="B119" i="19" s="1"/>
  <c r="B120" i="19" s="1"/>
  <c r="B121" i="19" s="1"/>
  <c r="B122" i="19" s="1"/>
  <c r="B123" i="19" s="1"/>
  <c r="B124" i="19" s="1"/>
  <c r="B125" i="19" s="1"/>
  <c r="B126" i="19" s="1"/>
  <c r="B127" i="19" s="1"/>
  <c r="B128" i="19" s="1"/>
  <c r="B129" i="19" s="1"/>
  <c r="B130" i="19" s="1"/>
  <c r="B131" i="19" s="1"/>
  <c r="B132" i="19" s="1"/>
  <c r="B133" i="19" s="1"/>
  <c r="B134" i="19" s="1"/>
  <c r="B135" i="19" s="1"/>
  <c r="B136" i="19" s="1"/>
  <c r="B137" i="19" s="1"/>
  <c r="B138" i="19" s="1"/>
  <c r="B139" i="19" s="1"/>
  <c r="B140" i="19" s="1"/>
  <c r="B141" i="19" s="1"/>
  <c r="B142" i="19" s="1"/>
  <c r="B143" i="19" s="1"/>
  <c r="B144" i="19" s="1"/>
  <c r="B145" i="19" s="1"/>
  <c r="B146" i="19" s="1"/>
  <c r="B147" i="19" s="1"/>
  <c r="B148" i="19" s="1"/>
  <c r="B149" i="19" s="1"/>
  <c r="B150" i="19" s="1"/>
  <c r="B151" i="19" s="1"/>
  <c r="B152" i="19" s="1"/>
  <c r="B153" i="19" s="1"/>
  <c r="B154" i="19" s="1"/>
  <c r="B155" i="19" s="1"/>
  <c r="B156" i="19" s="1"/>
  <c r="B157" i="19" s="1"/>
  <c r="B158" i="19" s="1"/>
  <c r="B159" i="19" s="1"/>
  <c r="B160" i="19" s="1"/>
  <c r="B161" i="19" s="1"/>
  <c r="B162" i="19" s="1"/>
  <c r="B163" i="19" s="1"/>
  <c r="B164" i="19" s="1"/>
  <c r="B165" i="19" s="1"/>
  <c r="B166" i="19" s="1"/>
  <c r="B167" i="19" s="1"/>
  <c r="B168" i="19" s="1"/>
  <c r="B169" i="19" s="1"/>
  <c r="B170" i="19" s="1"/>
  <c r="B171" i="19" s="1"/>
  <c r="B172" i="19" s="1"/>
  <c r="B173" i="19" s="1"/>
  <c r="B174" i="19" s="1"/>
  <c r="B175" i="19" s="1"/>
  <c r="B176" i="19" s="1"/>
  <c r="B177" i="19" s="1"/>
  <c r="B178" i="19" s="1"/>
  <c r="B179" i="19" s="1"/>
  <c r="B180" i="19" s="1"/>
  <c r="B181" i="19" s="1"/>
  <c r="B182" i="19" s="1"/>
  <c r="B183" i="19" s="1"/>
  <c r="B184" i="19" s="1"/>
  <c r="B185" i="19" s="1"/>
  <c r="B186" i="19" s="1"/>
  <c r="B187" i="19" s="1"/>
  <c r="B188" i="19" s="1"/>
  <c r="B189" i="19" s="1"/>
  <c r="B190" i="19" s="1"/>
  <c r="B191" i="19" s="1"/>
  <c r="B192" i="19" s="1"/>
  <c r="B193" i="19" s="1"/>
  <c r="B194" i="19" s="1"/>
  <c r="B195" i="19" s="1"/>
  <c r="B196" i="19" s="1"/>
  <c r="B197" i="19" s="1"/>
  <c r="B198" i="19" s="1"/>
  <c r="B199" i="19" s="1"/>
  <c r="B200" i="19" s="1"/>
  <c r="B201" i="19" s="1"/>
  <c r="B202" i="19" s="1"/>
  <c r="B203" i="19" s="1"/>
  <c r="B204" i="19" s="1"/>
  <c r="B205" i="19" s="1"/>
  <c r="B206" i="19" s="1"/>
  <c r="B207" i="19" s="1"/>
  <c r="B208" i="19" s="1"/>
  <c r="B209" i="19" s="1"/>
  <c r="B210" i="19" s="1"/>
  <c r="B211" i="19" s="1"/>
  <c r="B212" i="19" s="1"/>
  <c r="B213" i="19" s="1"/>
  <c r="B214" i="19" s="1"/>
  <c r="B215" i="19" s="1"/>
  <c r="B216" i="19" s="1"/>
  <c r="B217" i="19" s="1"/>
  <c r="B218" i="19" s="1"/>
  <c r="B219" i="19" s="1"/>
  <c r="B220" i="19" s="1"/>
  <c r="B221" i="19" s="1"/>
  <c r="B222" i="19" s="1"/>
  <c r="B223" i="19" s="1"/>
  <c r="B224" i="19" s="1"/>
  <c r="B225" i="19" s="1"/>
  <c r="B226" i="19" s="1"/>
  <c r="B227" i="19" s="1"/>
  <c r="B228" i="19" s="1"/>
  <c r="B229" i="19" s="1"/>
  <c r="B230" i="19" s="1"/>
  <c r="B231" i="19" s="1"/>
  <c r="B232" i="19" s="1"/>
  <c r="B233" i="19" s="1"/>
  <c r="B234" i="19" s="1"/>
  <c r="B235" i="19" s="1"/>
  <c r="B236" i="19" s="1"/>
  <c r="B237" i="19" s="1"/>
  <c r="B238" i="19" s="1"/>
  <c r="B239" i="19" s="1"/>
  <c r="B240" i="19" s="1"/>
  <c r="B241" i="19" s="1"/>
  <c r="B242" i="19" s="1"/>
  <c r="B243" i="19" s="1"/>
  <c r="B244" i="19" s="1"/>
  <c r="B245" i="19" s="1"/>
  <c r="B246" i="19" s="1"/>
  <c r="B247" i="19" s="1"/>
  <c r="B248" i="19" s="1"/>
  <c r="B249" i="19" s="1"/>
  <c r="B250" i="19" s="1"/>
  <c r="B251" i="19" s="1"/>
  <c r="B252" i="19" s="1"/>
  <c r="B253" i="19" s="1"/>
  <c r="B254" i="19" s="1"/>
  <c r="B255" i="19" s="1"/>
  <c r="B256" i="19" s="1"/>
  <c r="B257" i="19" s="1"/>
  <c r="B258" i="19" s="1"/>
  <c r="B259" i="19" s="1"/>
  <c r="B260" i="19" s="1"/>
  <c r="B261" i="19" s="1"/>
  <c r="B262" i="19" s="1"/>
  <c r="B263" i="19" s="1"/>
  <c r="B264" i="19" s="1"/>
  <c r="B265" i="19" s="1"/>
  <c r="B266" i="19" s="1"/>
  <c r="B267" i="19" s="1"/>
  <c r="B268" i="19" s="1"/>
  <c r="B269" i="19" s="1"/>
  <c r="B270" i="19" s="1"/>
  <c r="B271" i="19" s="1"/>
  <c r="B272" i="19" s="1"/>
  <c r="B273" i="19" s="1"/>
  <c r="B274" i="19" s="1"/>
  <c r="B275" i="19" s="1"/>
  <c r="B276" i="19" s="1"/>
  <c r="B277" i="19" s="1"/>
  <c r="B278" i="19" s="1"/>
  <c r="B279" i="19" s="1"/>
  <c r="B280" i="19" s="1"/>
  <c r="B281" i="19" s="1"/>
  <c r="B282" i="19" s="1"/>
  <c r="B283" i="19" s="1"/>
  <c r="B284" i="19" s="1"/>
  <c r="B285" i="19" s="1"/>
  <c r="B286" i="19" s="1"/>
  <c r="B287" i="19" s="1"/>
  <c r="B288" i="19" s="1"/>
  <c r="B289" i="19" s="1"/>
  <c r="B290" i="19" s="1"/>
  <c r="B291" i="19" s="1"/>
  <c r="B292" i="19" s="1"/>
  <c r="B293" i="19" s="1"/>
  <c r="B294" i="19" s="1"/>
  <c r="B295" i="19" s="1"/>
  <c r="B296" i="19" s="1"/>
  <c r="B297" i="19" s="1"/>
  <c r="B298" i="19" s="1"/>
  <c r="B299" i="19" s="1"/>
  <c r="B300" i="19" s="1"/>
  <c r="B301" i="19" s="1"/>
  <c r="B302" i="19" s="1"/>
  <c r="B303" i="19" s="1"/>
  <c r="B304" i="19" s="1"/>
  <c r="B305" i="19" s="1"/>
  <c r="B306" i="19" s="1"/>
  <c r="B307" i="19" s="1"/>
  <c r="B308" i="19" s="1"/>
  <c r="B309" i="19" s="1"/>
  <c r="B310" i="19" s="1"/>
  <c r="B311" i="19" s="1"/>
  <c r="B312" i="19" s="1"/>
  <c r="B313" i="19" s="1"/>
  <c r="B314" i="19" s="1"/>
  <c r="B315" i="19" s="1"/>
  <c r="B316" i="19" s="1"/>
  <c r="B317" i="19" s="1"/>
  <c r="B318" i="19" s="1"/>
  <c r="B319" i="19" s="1"/>
  <c r="B320" i="19" s="1"/>
  <c r="B321" i="19" s="1"/>
  <c r="B322" i="19" s="1"/>
  <c r="B323" i="19" s="1"/>
  <c r="B324" i="19" s="1"/>
  <c r="B325" i="19" s="1"/>
  <c r="B326" i="19" s="1"/>
  <c r="B327" i="19" s="1"/>
  <c r="B328" i="19" s="1"/>
  <c r="B329" i="19" s="1"/>
  <c r="B330" i="19" s="1"/>
  <c r="B331" i="19" s="1"/>
  <c r="B332" i="19" s="1"/>
  <c r="B333" i="19" s="1"/>
  <c r="B334" i="19" s="1"/>
  <c r="B335" i="19" s="1"/>
  <c r="B336" i="19" s="1"/>
  <c r="B337" i="19" s="1"/>
  <c r="B338" i="19" s="1"/>
  <c r="B339" i="19" s="1"/>
  <c r="B340" i="19" s="1"/>
  <c r="B341" i="19" s="1"/>
  <c r="B342" i="19" s="1"/>
  <c r="B343" i="19" s="1"/>
  <c r="B344" i="19" s="1"/>
  <c r="B345" i="19" s="1"/>
  <c r="B346" i="19" s="1"/>
  <c r="B347" i="19" s="1"/>
  <c r="B348" i="19" s="1"/>
  <c r="B349" i="19" s="1"/>
  <c r="B350" i="19" s="1"/>
  <c r="B351" i="19" s="1"/>
  <c r="B352" i="19" s="1"/>
  <c r="B353" i="19" s="1"/>
  <c r="B354" i="19" s="1"/>
  <c r="B355" i="19" s="1"/>
  <c r="B356" i="19" s="1"/>
  <c r="B357" i="19" s="1"/>
  <c r="B358" i="19" s="1"/>
  <c r="B359" i="19" s="1"/>
  <c r="B360" i="19" s="1"/>
  <c r="B361" i="19" s="1"/>
  <c r="B362" i="19" s="1"/>
  <c r="B363" i="19" s="1"/>
  <c r="B364" i="19" s="1"/>
  <c r="B365" i="19" s="1"/>
  <c r="B366" i="19" s="1"/>
  <c r="B367" i="19" s="1"/>
  <c r="B368" i="19" s="1"/>
  <c r="B369" i="19" s="1"/>
  <c r="B370" i="19" s="1"/>
  <c r="B371" i="19" s="1"/>
  <c r="B372" i="19" s="1"/>
  <c r="B373" i="19" s="1"/>
  <c r="B374" i="19" s="1"/>
  <c r="B375" i="19" s="1"/>
  <c r="B376" i="19" s="1"/>
  <c r="B377" i="19" s="1"/>
  <c r="B378" i="19" s="1"/>
  <c r="B379" i="19" s="1"/>
  <c r="B380" i="19" s="1"/>
  <c r="B381" i="19" s="1"/>
  <c r="B382" i="19" s="1"/>
  <c r="B383" i="19" s="1"/>
  <c r="B384" i="19" s="1"/>
  <c r="B385" i="19" s="1"/>
  <c r="B386" i="19" s="1"/>
  <c r="B387" i="19" s="1"/>
  <c r="B388" i="19" s="1"/>
  <c r="B389" i="19" s="1"/>
  <c r="B390" i="19" s="1"/>
  <c r="B391" i="19" s="1"/>
  <c r="B392" i="19" s="1"/>
  <c r="B393" i="19" s="1"/>
  <c r="B394" i="19" s="1"/>
  <c r="B395" i="19" s="1"/>
  <c r="B396" i="19" s="1"/>
  <c r="B397" i="19" s="1"/>
  <c r="B398" i="19" s="1"/>
  <c r="B399" i="19" s="1"/>
  <c r="B400" i="19" s="1"/>
  <c r="B401" i="19" s="1"/>
  <c r="B402" i="19" s="1"/>
  <c r="B403" i="19" s="1"/>
  <c r="B404" i="19" s="1"/>
  <c r="B405" i="19" s="1"/>
  <c r="B406" i="19" s="1"/>
  <c r="B407" i="19" s="1"/>
  <c r="B408" i="19" s="1"/>
  <c r="B409" i="19" s="1"/>
  <c r="B410" i="19" s="1"/>
  <c r="B411" i="19" s="1"/>
  <c r="B412" i="19" s="1"/>
  <c r="B413" i="19" s="1"/>
  <c r="V4" i="7"/>
  <c r="V3" i="7"/>
  <c r="I73" i="19"/>
  <c r="I72" i="19"/>
  <c r="I71" i="19"/>
  <c r="I70" i="19"/>
  <c r="I69" i="19"/>
  <c r="I68" i="19"/>
  <c r="I57" i="19"/>
  <c r="I56" i="19"/>
  <c r="I55" i="19"/>
  <c r="I54" i="19"/>
  <c r="I53" i="19"/>
  <c r="I52" i="19"/>
  <c r="I51" i="19"/>
  <c r="I50" i="19"/>
  <c r="I49" i="19"/>
  <c r="I14" i="20"/>
  <c r="G14" i="20"/>
  <c r="E72" i="20"/>
  <c r="J72" i="20" s="1"/>
  <c r="G68" i="20"/>
  <c r="K68" i="20" s="1"/>
  <c r="I67" i="20"/>
  <c r="I65" i="20"/>
  <c r="B140" i="16"/>
  <c r="I70" i="20"/>
  <c r="I69" i="20"/>
  <c r="I68" i="20"/>
  <c r="E68" i="20"/>
  <c r="J68" i="20" s="1"/>
  <c r="E65" i="20"/>
  <c r="I16" i="19"/>
  <c r="I15" i="19"/>
  <c r="I14" i="19"/>
  <c r="I10" i="19"/>
  <c r="I9" i="19"/>
  <c r="I7" i="19"/>
  <c r="I6" i="19"/>
  <c r="I5" i="19"/>
  <c r="G16" i="19"/>
  <c r="G15" i="19"/>
  <c r="G14" i="19"/>
  <c r="G13" i="19"/>
  <c r="G12" i="19"/>
  <c r="G11" i="19"/>
  <c r="G10" i="19"/>
  <c r="G9" i="19"/>
  <c r="K9" i="19" s="1"/>
  <c r="G7" i="19"/>
  <c r="K7" i="19" s="1"/>
  <c r="G5" i="19"/>
  <c r="G6" i="19"/>
  <c r="K6" i="19" s="1"/>
  <c r="E16" i="19"/>
  <c r="E12" i="19"/>
  <c r="E11" i="19"/>
  <c r="E10" i="19"/>
  <c r="E9" i="19"/>
  <c r="J9" i="19" s="1"/>
  <c r="E7" i="19"/>
  <c r="E6" i="19"/>
  <c r="J6" i="19" s="1"/>
  <c r="E5" i="19"/>
  <c r="J5" i="19" s="1"/>
  <c r="I36" i="19"/>
  <c r="I35" i="19"/>
  <c r="I34" i="19"/>
  <c r="I30" i="19"/>
  <c r="I29" i="19"/>
  <c r="I27" i="19"/>
  <c r="I26" i="19"/>
  <c r="I25" i="19"/>
  <c r="G37" i="19"/>
  <c r="G36" i="19"/>
  <c r="G33" i="19"/>
  <c r="G32" i="19"/>
  <c r="G31" i="19"/>
  <c r="G30" i="19"/>
  <c r="G29" i="19"/>
  <c r="K29" i="19" s="1"/>
  <c r="G27" i="19"/>
  <c r="K27" i="19" s="1"/>
  <c r="G26" i="19"/>
  <c r="K26" i="19" s="1"/>
  <c r="E37" i="19"/>
  <c r="E36" i="19"/>
  <c r="E33" i="19"/>
  <c r="E32" i="19"/>
  <c r="E31" i="19"/>
  <c r="E30" i="19"/>
  <c r="E29" i="19"/>
  <c r="J29" i="19" s="1"/>
  <c r="E27" i="19"/>
  <c r="J27" i="19" s="1"/>
  <c r="E26" i="19"/>
  <c r="J26" i="19" s="1"/>
  <c r="I46" i="19"/>
  <c r="I45" i="19"/>
  <c r="G57" i="19"/>
  <c r="G56" i="19"/>
  <c r="G55" i="19"/>
  <c r="G54" i="19"/>
  <c r="G53" i="19"/>
  <c r="G52" i="19"/>
  <c r="G51" i="19"/>
  <c r="G50" i="19"/>
  <c r="G49" i="19"/>
  <c r="K49" i="19" s="1"/>
  <c r="G46" i="19"/>
  <c r="K46" i="19" s="1"/>
  <c r="G45" i="19"/>
  <c r="K45" i="19" s="1"/>
  <c r="E57" i="19"/>
  <c r="E56" i="19"/>
  <c r="E55" i="19"/>
  <c r="E54" i="19"/>
  <c r="E53" i="19"/>
  <c r="E52" i="19"/>
  <c r="E51" i="19"/>
  <c r="E50" i="19"/>
  <c r="E49" i="19"/>
  <c r="E46" i="19"/>
  <c r="J46" i="19" s="1"/>
  <c r="E45" i="19"/>
  <c r="J45" i="19" s="1"/>
  <c r="I66" i="19"/>
  <c r="I65" i="19"/>
  <c r="G73" i="19"/>
  <c r="K73" i="19" s="1"/>
  <c r="G72" i="19"/>
  <c r="K72" i="19" s="1"/>
  <c r="G71" i="19"/>
  <c r="K71" i="19" s="1"/>
  <c r="G70" i="19"/>
  <c r="G69" i="19"/>
  <c r="K69" i="19" s="1"/>
  <c r="G68" i="19"/>
  <c r="K68" i="19" s="1"/>
  <c r="G66" i="19"/>
  <c r="K66" i="19" s="1"/>
  <c r="G65" i="19"/>
  <c r="K65" i="19" s="1"/>
  <c r="E73" i="19"/>
  <c r="J73" i="19" s="1"/>
  <c r="E72" i="19"/>
  <c r="E71" i="19"/>
  <c r="J71" i="19" s="1"/>
  <c r="E70" i="19"/>
  <c r="E69" i="19"/>
  <c r="J69" i="19" s="1"/>
  <c r="E68" i="19"/>
  <c r="J68" i="19" s="1"/>
  <c r="E66" i="19"/>
  <c r="J66" i="19" s="1"/>
  <c r="E65" i="19"/>
  <c r="J65" i="19" s="1"/>
  <c r="I88" i="19"/>
  <c r="I87" i="19"/>
  <c r="I85" i="19"/>
  <c r="I84" i="19"/>
  <c r="G88" i="19"/>
  <c r="G87" i="19"/>
  <c r="K87" i="19" s="1"/>
  <c r="G85" i="19"/>
  <c r="K85" i="19" s="1"/>
  <c r="G84" i="19"/>
  <c r="K84" i="19" s="1"/>
  <c r="E84" i="19"/>
  <c r="J84" i="19" s="1"/>
  <c r="E85" i="19"/>
  <c r="J85" i="19" s="1"/>
  <c r="E88" i="19"/>
  <c r="E87" i="19"/>
  <c r="H83" i="19"/>
  <c r="I83" i="19" s="1"/>
  <c r="F83" i="19"/>
  <c r="G83" i="19" s="1"/>
  <c r="K83" i="19" s="1"/>
  <c r="D83" i="19"/>
  <c r="E83" i="19" s="1"/>
  <c r="H64" i="19"/>
  <c r="I64" i="19" s="1"/>
  <c r="F64" i="19"/>
  <c r="G64" i="19" s="1"/>
  <c r="K64" i="19" s="1"/>
  <c r="D64" i="19"/>
  <c r="E64" i="19" s="1"/>
  <c r="J64" i="19" s="1"/>
  <c r="F35" i="19"/>
  <c r="G35" i="19" s="1"/>
  <c r="D35" i="19"/>
  <c r="E35" i="19" s="1"/>
  <c r="D34" i="19"/>
  <c r="E34" i="19" s="1"/>
  <c r="F34" i="19"/>
  <c r="G34" i="19" s="1"/>
  <c r="H39" i="19"/>
  <c r="F70" i="20"/>
  <c r="G70" i="20" s="1"/>
  <c r="K70" i="20" s="1"/>
  <c r="F69" i="20"/>
  <c r="G69" i="20" s="1"/>
  <c r="K69" i="20" s="1"/>
  <c r="F67" i="20"/>
  <c r="G67" i="20" s="1"/>
  <c r="K67" i="20" s="1"/>
  <c r="F65" i="20"/>
  <c r="G65" i="20" s="1"/>
  <c r="K65" i="20" s="1"/>
  <c r="D70" i="20"/>
  <c r="E70" i="20" s="1"/>
  <c r="J70" i="20" s="1"/>
  <c r="D69" i="20"/>
  <c r="E69" i="20" s="1"/>
  <c r="J69" i="20" s="1"/>
  <c r="D67" i="20"/>
  <c r="E67" i="20" s="1"/>
  <c r="J67" i="20" s="1"/>
  <c r="D65" i="20"/>
  <c r="F55" i="20"/>
  <c r="F54" i="20"/>
  <c r="F52" i="20"/>
  <c r="F51" i="20"/>
  <c r="D55" i="20"/>
  <c r="D54" i="20"/>
  <c r="D52" i="20"/>
  <c r="D51" i="20"/>
  <c r="F39" i="20"/>
  <c r="F37" i="20"/>
  <c r="F36" i="20"/>
  <c r="F35" i="20"/>
  <c r="F34" i="20"/>
  <c r="D39" i="20"/>
  <c r="D37" i="20"/>
  <c r="D36" i="20"/>
  <c r="D35" i="20"/>
  <c r="D34" i="20"/>
  <c r="L65" i="20" l="1"/>
  <c r="J65" i="20"/>
  <c r="L85" i="19"/>
  <c r="L66" i="19"/>
  <c r="L7" i="19"/>
  <c r="L9" i="19"/>
  <c r="L6" i="19"/>
  <c r="L72" i="19"/>
  <c r="L29" i="19"/>
  <c r="L69" i="19"/>
  <c r="L84" i="19"/>
  <c r="L5" i="19"/>
  <c r="L27" i="19"/>
  <c r="L71" i="19"/>
  <c r="D25" i="19"/>
  <c r="D39" i="19" s="1"/>
  <c r="L87" i="19"/>
  <c r="L46" i="19"/>
  <c r="L49" i="19"/>
  <c r="J83" i="19"/>
  <c r="L83" i="19"/>
  <c r="K5" i="19"/>
  <c r="J87" i="19"/>
  <c r="F25" i="19"/>
  <c r="L68" i="19"/>
  <c r="L45" i="19"/>
  <c r="J7" i="19"/>
  <c r="J49" i="19"/>
  <c r="J72" i="19"/>
  <c r="E25" i="19" l="1"/>
  <c r="J25" i="19" s="1"/>
  <c r="F39" i="19"/>
  <c r="G25" i="19"/>
  <c r="K25" i="19" s="1"/>
  <c r="F20" i="20" l="1"/>
  <c r="F19" i="20"/>
  <c r="D25" i="20"/>
  <c r="D24" i="20"/>
  <c r="D22" i="20"/>
  <c r="D21" i="20"/>
  <c r="D20" i="20"/>
  <c r="D19" i="20"/>
  <c r="D27" i="20" l="1"/>
  <c r="I72" i="20"/>
  <c r="G72" i="20"/>
  <c r="K72" i="20" s="1"/>
  <c r="I56" i="20"/>
  <c r="G56" i="20"/>
  <c r="K56" i="20" s="1"/>
  <c r="E56" i="20"/>
  <c r="I40" i="20"/>
  <c r="G40" i="20"/>
  <c r="K40" i="20" s="1"/>
  <c r="E40" i="20"/>
  <c r="J40" i="20" s="1"/>
  <c r="I26" i="20"/>
  <c r="G26" i="20"/>
  <c r="K26" i="20" s="1"/>
  <c r="E26" i="20"/>
  <c r="J26" i="20" s="1"/>
  <c r="I11" i="20"/>
  <c r="G11" i="20"/>
  <c r="K11" i="20" s="1"/>
  <c r="E11" i="20"/>
  <c r="J11" i="20" s="1"/>
  <c r="F10" i="20"/>
  <c r="F9" i="20"/>
  <c r="F7" i="20"/>
  <c r="F6" i="20"/>
  <c r="F5" i="20"/>
  <c r="F4" i="20"/>
  <c r="D10" i="20"/>
  <c r="D9" i="20"/>
  <c r="D7" i="20"/>
  <c r="D6" i="20"/>
  <c r="D5" i="20"/>
  <c r="D4" i="20"/>
  <c r="M5" i="7"/>
  <c r="M6" i="7" s="1"/>
  <c r="M9" i="7" s="1"/>
  <c r="M4" i="7"/>
  <c r="H29" i="26"/>
  <c r="H17" i="26"/>
  <c r="H17" i="23"/>
  <c r="I38" i="20"/>
  <c r="S7" i="7"/>
  <c r="C291" i="5"/>
  <c r="A329" i="5"/>
  <c r="A367" i="5" s="1"/>
  <c r="A356" i="5"/>
  <c r="A357" i="5"/>
  <c r="A358" i="5"/>
  <c r="A359" i="5"/>
  <c r="A360" i="5"/>
  <c r="A361" i="5"/>
  <c r="A362" i="5"/>
  <c r="A355" i="5"/>
  <c r="A337" i="5"/>
  <c r="A338" i="5"/>
  <c r="A339" i="5"/>
  <c r="A340" i="5"/>
  <c r="A341" i="5"/>
  <c r="A342" i="5"/>
  <c r="A343" i="5"/>
  <c r="A344" i="5"/>
  <c r="A345" i="5"/>
  <c r="A346" i="5"/>
  <c r="A347" i="5"/>
  <c r="A348" i="5"/>
  <c r="A349" i="5"/>
  <c r="A336" i="5"/>
  <c r="A318" i="5"/>
  <c r="A319" i="5"/>
  <c r="A320" i="5"/>
  <c r="A321" i="5"/>
  <c r="A322" i="5"/>
  <c r="A323" i="5"/>
  <c r="A317" i="5"/>
  <c r="A301" i="5"/>
  <c r="A302" i="5"/>
  <c r="A303" i="5"/>
  <c r="A304" i="5"/>
  <c r="A305" i="5"/>
  <c r="A306" i="5"/>
  <c r="A307" i="5"/>
  <c r="A308" i="5"/>
  <c r="A309" i="5"/>
  <c r="A310" i="5"/>
  <c r="A311" i="5"/>
  <c r="A312" i="5"/>
  <c r="A313" i="5"/>
  <c r="A300" i="5"/>
  <c r="B296" i="5"/>
  <c r="B128" i="16"/>
  <c r="H29" i="23"/>
  <c r="L56" i="20" l="1"/>
  <c r="J56" i="20"/>
  <c r="F12" i="20"/>
  <c r="D12" i="20"/>
  <c r="L159" i="16"/>
  <c r="C283" i="5"/>
  <c r="A287" i="5" s="1"/>
  <c r="C128" i="16"/>
  <c r="L40" i="20"/>
  <c r="L11" i="20"/>
  <c r="L26" i="20"/>
  <c r="L72" i="20"/>
  <c r="L157" i="16"/>
  <c r="L158" i="16"/>
  <c r="L160" i="16"/>
  <c r="L156" i="16"/>
  <c r="L32" i="26"/>
  <c r="X159" i="16"/>
  <c r="Y159" i="16"/>
  <c r="X156" i="16"/>
  <c r="X160" i="16"/>
  <c r="Y156" i="16"/>
  <c r="Y160" i="16"/>
  <c r="X157" i="16"/>
  <c r="Y157" i="16"/>
  <c r="X158" i="16"/>
  <c r="Y158" i="16"/>
  <c r="L32" i="23"/>
  <c r="E13" i="2"/>
  <c r="A283" i="5" s="1"/>
  <c r="E11" i="2"/>
  <c r="V9" i="7"/>
  <c r="W9" i="7"/>
  <c r="W6" i="7"/>
  <c r="W4" i="7"/>
  <c r="W3" i="7"/>
  <c r="T5" i="7"/>
  <c r="T9" i="7"/>
  <c r="Y3" i="7" l="1"/>
  <c r="M4" i="20" s="1"/>
  <c r="Y9" i="7"/>
  <c r="Y6" i="7"/>
  <c r="Y5" i="7"/>
  <c r="Y4" i="7"/>
  <c r="Z159" i="16"/>
  <c r="Z158" i="16"/>
  <c r="Z160" i="16"/>
  <c r="Z156" i="16"/>
  <c r="Z157" i="16"/>
  <c r="E4" i="20"/>
  <c r="J4" i="20" s="1"/>
  <c r="B134" i="16"/>
  <c r="I20" i="24"/>
  <c r="F113" i="24"/>
  <c r="F110" i="24"/>
  <c r="F107" i="24"/>
  <c r="F104" i="24"/>
  <c r="F101" i="24"/>
  <c r="F98" i="24"/>
  <c r="F95" i="24"/>
  <c r="F92" i="24"/>
  <c r="F89" i="24"/>
  <c r="F86" i="24"/>
  <c r="F83" i="24"/>
  <c r="F80" i="24"/>
  <c r="F77" i="24"/>
  <c r="F74" i="24"/>
  <c r="F71" i="24"/>
  <c r="F68" i="24"/>
  <c r="F65" i="24"/>
  <c r="F62" i="24"/>
  <c r="F59" i="24"/>
  <c r="F56" i="24"/>
  <c r="F53" i="24"/>
  <c r="F50" i="24"/>
  <c r="F47" i="24"/>
  <c r="F44" i="24"/>
  <c r="F41" i="24"/>
  <c r="F38" i="24"/>
  <c r="F35" i="24"/>
  <c r="F32" i="24"/>
  <c r="F29" i="24"/>
  <c r="F26" i="24"/>
  <c r="F23" i="24"/>
  <c r="F20" i="24"/>
  <c r="F17" i="24"/>
  <c r="E7" i="2"/>
  <c r="M65" i="20" l="1"/>
  <c r="M11" i="20"/>
  <c r="M72" i="20"/>
  <c r="M57" i="20"/>
  <c r="M41" i="20"/>
  <c r="M26" i="20"/>
  <c r="M56" i="20"/>
  <c r="M40" i="20"/>
  <c r="M67" i="20"/>
  <c r="M70" i="20"/>
  <c r="M69" i="20"/>
  <c r="M68" i="20"/>
  <c r="P37" i="19"/>
  <c r="P11" i="19"/>
  <c r="P36" i="19"/>
  <c r="P12" i="19"/>
  <c r="O26" i="19"/>
  <c r="P35" i="19"/>
  <c r="O25" i="19"/>
  <c r="P34" i="19"/>
  <c r="O9" i="19"/>
  <c r="O11" i="20"/>
  <c r="P11" i="20" s="1"/>
  <c r="C324" i="5" s="1"/>
  <c r="P16" i="19"/>
  <c r="P33" i="19"/>
  <c r="O7" i="19"/>
  <c r="O4" i="20"/>
  <c r="P32" i="19"/>
  <c r="O26" i="20"/>
  <c r="P26" i="20" s="1"/>
  <c r="P31" i="19"/>
  <c r="P10" i="19"/>
  <c r="O29" i="19"/>
  <c r="O6" i="19"/>
  <c r="P30" i="19"/>
  <c r="O27" i="19"/>
  <c r="O5" i="19"/>
  <c r="C134" i="16"/>
  <c r="B323" i="16"/>
  <c r="A323" i="16"/>
  <c r="B322" i="16"/>
  <c r="B321" i="16"/>
  <c r="A322" i="16"/>
  <c r="A321" i="16"/>
  <c r="G248" i="16"/>
  <c r="G295" i="16" s="1"/>
  <c r="G247" i="16"/>
  <c r="G294" i="16" s="1"/>
  <c r="C156" i="16"/>
  <c r="C140" i="16"/>
  <c r="C20" i="5" l="1"/>
  <c r="C15" i="5"/>
  <c r="F48" i="19" l="1"/>
  <c r="A35" i="5"/>
  <c r="F71" i="20"/>
  <c r="G71" i="20" s="1"/>
  <c r="K71" i="20" s="1"/>
  <c r="D71" i="20"/>
  <c r="I71" i="20"/>
  <c r="E71" i="20"/>
  <c r="I52" i="20"/>
  <c r="I53" i="20"/>
  <c r="I54" i="20"/>
  <c r="I55" i="20"/>
  <c r="G52" i="20"/>
  <c r="K52" i="20" s="1"/>
  <c r="G53" i="20"/>
  <c r="K53" i="20" s="1"/>
  <c r="G54" i="20"/>
  <c r="K54" i="20" s="1"/>
  <c r="G55" i="20"/>
  <c r="K55" i="20" s="1"/>
  <c r="E52" i="20"/>
  <c r="E53" i="20"/>
  <c r="E54" i="20"/>
  <c r="E55" i="20"/>
  <c r="E51" i="20"/>
  <c r="I51" i="20"/>
  <c r="G51" i="20"/>
  <c r="K51" i="20" s="1"/>
  <c r="I35" i="20"/>
  <c r="I36" i="20"/>
  <c r="I37" i="20"/>
  <c r="I39" i="20"/>
  <c r="G35" i="20"/>
  <c r="K35" i="20" s="1"/>
  <c r="G36" i="20"/>
  <c r="K36" i="20" s="1"/>
  <c r="G37" i="20"/>
  <c r="K37" i="20" s="1"/>
  <c r="G38" i="20"/>
  <c r="K38" i="20" s="1"/>
  <c r="G39" i="20"/>
  <c r="K39" i="20" s="1"/>
  <c r="I34" i="20"/>
  <c r="G34" i="20"/>
  <c r="K34" i="20" s="1"/>
  <c r="E35" i="20"/>
  <c r="E36" i="20"/>
  <c r="E37" i="20"/>
  <c r="E38" i="20"/>
  <c r="E39" i="20"/>
  <c r="E34" i="20"/>
  <c r="I20" i="20"/>
  <c r="I21" i="20"/>
  <c r="I22" i="20"/>
  <c r="I23" i="20"/>
  <c r="I24" i="20"/>
  <c r="I25" i="20"/>
  <c r="I19" i="20"/>
  <c r="E20" i="20"/>
  <c r="E21" i="20"/>
  <c r="E22" i="20"/>
  <c r="E23" i="20"/>
  <c r="E24" i="20"/>
  <c r="E25" i="20"/>
  <c r="E19" i="20"/>
  <c r="G19" i="20"/>
  <c r="K19" i="20" s="1"/>
  <c r="C160" i="16"/>
  <c r="C159" i="16"/>
  <c r="C158" i="16"/>
  <c r="C157" i="16"/>
  <c r="C62" i="20"/>
  <c r="C46" i="20"/>
  <c r="C31" i="20"/>
  <c r="C16" i="20"/>
  <c r="C1" i="20"/>
  <c r="C1" i="19"/>
  <c r="J53" i="20" l="1"/>
  <c r="M53" i="20"/>
  <c r="J21" i="20"/>
  <c r="O21" i="20"/>
  <c r="M21" i="20"/>
  <c r="J52" i="20"/>
  <c r="M52" i="20"/>
  <c r="J20" i="20"/>
  <c r="M20" i="20"/>
  <c r="O20" i="20"/>
  <c r="J34" i="20"/>
  <c r="M34" i="20"/>
  <c r="L71" i="20"/>
  <c r="J71" i="20"/>
  <c r="M71" i="20"/>
  <c r="J39" i="20"/>
  <c r="M39" i="20"/>
  <c r="J22" i="20"/>
  <c r="O22" i="20"/>
  <c r="M22" i="20"/>
  <c r="J19" i="20"/>
  <c r="M19" i="20"/>
  <c r="O19" i="20"/>
  <c r="J25" i="20"/>
  <c r="O25" i="20"/>
  <c r="M25" i="20"/>
  <c r="J51" i="20"/>
  <c r="M51" i="20"/>
  <c r="J38" i="20"/>
  <c r="M38" i="20"/>
  <c r="J37" i="20"/>
  <c r="M37" i="20"/>
  <c r="J24" i="20"/>
  <c r="M24" i="20"/>
  <c r="O24" i="20"/>
  <c r="J36" i="20"/>
  <c r="M36" i="20"/>
  <c r="J55" i="20"/>
  <c r="M55" i="20"/>
  <c r="J23" i="20"/>
  <c r="M23" i="20"/>
  <c r="O23" i="20"/>
  <c r="J35" i="20"/>
  <c r="M35" i="20"/>
  <c r="J54" i="20"/>
  <c r="M54" i="20"/>
  <c r="G48" i="19"/>
  <c r="K48" i="19" s="1"/>
  <c r="F44" i="19"/>
  <c r="G44" i="19" s="1"/>
  <c r="K44" i="19" s="1"/>
  <c r="L55" i="20"/>
  <c r="L54" i="20"/>
  <c r="L52" i="20"/>
  <c r="L51" i="20"/>
  <c r="L39" i="20"/>
  <c r="L37" i="20"/>
  <c r="L36" i="20"/>
  <c r="L35" i="20"/>
  <c r="L34" i="20"/>
  <c r="L53" i="20"/>
  <c r="L38" i="20"/>
  <c r="L19" i="20"/>
  <c r="C79" i="19"/>
  <c r="C60" i="19"/>
  <c r="C21" i="19"/>
  <c r="C40" i="19"/>
  <c r="B2" i="19"/>
  <c r="B3" i="19" s="1"/>
  <c r="B4" i="19" s="1"/>
  <c r="B5" i="19" l="1"/>
  <c r="B6" i="19" s="1"/>
  <c r="B7" i="19" s="1"/>
  <c r="B8" i="19" s="1"/>
  <c r="B9" i="19" s="1"/>
  <c r="B10" i="19" s="1"/>
  <c r="B11" i="19" s="1"/>
  <c r="B12" i="19" s="1"/>
  <c r="B13" i="19" s="1"/>
  <c r="B14" i="19" s="1"/>
  <c r="B15" i="19" s="1"/>
  <c r="H48" i="19"/>
  <c r="D48" i="19"/>
  <c r="E48" i="19" l="1"/>
  <c r="D44" i="19"/>
  <c r="E44" i="19" s="1"/>
  <c r="J44" i="19" s="1"/>
  <c r="I48" i="19"/>
  <c r="H44" i="19"/>
  <c r="I44" i="19" s="1"/>
  <c r="S4" i="12"/>
  <c r="R3" i="12"/>
  <c r="S6" i="12"/>
  <c r="R6" i="12"/>
  <c r="R5" i="12"/>
  <c r="S5" i="12"/>
  <c r="S3" i="12"/>
  <c r="R4" i="12"/>
  <c r="E26" i="17"/>
  <c r="A4" i="16"/>
  <c r="C4" i="16" s="1"/>
  <c r="A5" i="16"/>
  <c r="C5" i="16" s="1"/>
  <c r="A6" i="16"/>
  <c r="C6" i="16" s="1"/>
  <c r="A7" i="16"/>
  <c r="C7" i="16" s="1"/>
  <c r="A8" i="16"/>
  <c r="B8" i="16" s="1"/>
  <c r="A9" i="16"/>
  <c r="B9" i="16" s="1"/>
  <c r="A10" i="16"/>
  <c r="C10" i="16" s="1"/>
  <c r="A11" i="16"/>
  <c r="B11" i="16" s="1"/>
  <c r="A12" i="16"/>
  <c r="C12" i="16" s="1"/>
  <c r="A13" i="16"/>
  <c r="C13" i="16" s="1"/>
  <c r="A14" i="16"/>
  <c r="C14" i="16" s="1"/>
  <c r="A15" i="16"/>
  <c r="C15" i="16" s="1"/>
  <c r="A16" i="16"/>
  <c r="B16" i="16" s="1"/>
  <c r="A17" i="16"/>
  <c r="C17" i="16" s="1"/>
  <c r="A18" i="16"/>
  <c r="C18" i="16" s="1"/>
  <c r="A19" i="16"/>
  <c r="B19" i="16" s="1"/>
  <c r="A20" i="16"/>
  <c r="C20" i="16" s="1"/>
  <c r="A21" i="16"/>
  <c r="C21" i="16" s="1"/>
  <c r="A22" i="16"/>
  <c r="C22" i="16" s="1"/>
  <c r="A23" i="16"/>
  <c r="C23" i="16" s="1"/>
  <c r="A24" i="16"/>
  <c r="B24" i="16" s="1"/>
  <c r="A25" i="16"/>
  <c r="B25" i="16" s="1"/>
  <c r="A26" i="16"/>
  <c r="C26" i="16" s="1"/>
  <c r="A27" i="16"/>
  <c r="B27" i="16" s="1"/>
  <c r="A28" i="16"/>
  <c r="C28" i="16" s="1"/>
  <c r="A29" i="16"/>
  <c r="C29" i="16" s="1"/>
  <c r="A30" i="16"/>
  <c r="C30" i="16" s="1"/>
  <c r="A31" i="16"/>
  <c r="B31" i="16" s="1"/>
  <c r="A32" i="16"/>
  <c r="B32" i="16" s="1"/>
  <c r="A33" i="16"/>
  <c r="B33" i="16" s="1"/>
  <c r="A34" i="16"/>
  <c r="C34" i="16" s="1"/>
  <c r="A35" i="16"/>
  <c r="B35" i="16" s="1"/>
  <c r="A36" i="16"/>
  <c r="B36" i="16" s="1"/>
  <c r="A37" i="16"/>
  <c r="C37" i="16" s="1"/>
  <c r="A38" i="16"/>
  <c r="C38" i="16" s="1"/>
  <c r="A39" i="16"/>
  <c r="B39" i="16" s="1"/>
  <c r="A40" i="16"/>
  <c r="B40" i="16" s="1"/>
  <c r="A41" i="16"/>
  <c r="B41" i="16" s="1"/>
  <c r="A42" i="16"/>
  <c r="C42" i="16" s="1"/>
  <c r="A43" i="16"/>
  <c r="B43" i="16" s="1"/>
  <c r="A44" i="16"/>
  <c r="C44" i="16" s="1"/>
  <c r="A45" i="16"/>
  <c r="C45" i="16" s="1"/>
  <c r="A46" i="16"/>
  <c r="C46" i="16" s="1"/>
  <c r="A47" i="16"/>
  <c r="B47" i="16" s="1"/>
  <c r="A48" i="16"/>
  <c r="B48" i="16" s="1"/>
  <c r="A49" i="16"/>
  <c r="B49" i="16" s="1"/>
  <c r="A50" i="16"/>
  <c r="C50" i="16" s="1"/>
  <c r="A51" i="16"/>
  <c r="B51" i="16" s="1"/>
  <c r="A52" i="16"/>
  <c r="C52" i="16" s="1"/>
  <c r="A53" i="16"/>
  <c r="C53" i="16" s="1"/>
  <c r="A54" i="16"/>
  <c r="C54" i="16" s="1"/>
  <c r="A55" i="16"/>
  <c r="B55" i="16" s="1"/>
  <c r="A56" i="16"/>
  <c r="B56" i="16" s="1"/>
  <c r="A57" i="16"/>
  <c r="B57" i="16" s="1"/>
  <c r="A58" i="16"/>
  <c r="C58" i="16" s="1"/>
  <c r="A59" i="16"/>
  <c r="B59" i="16" s="1"/>
  <c r="A60" i="16"/>
  <c r="B60" i="16" s="1"/>
  <c r="A61" i="16"/>
  <c r="C61" i="16" s="1"/>
  <c r="A62" i="16"/>
  <c r="C62" i="16" s="1"/>
  <c r="A63" i="16"/>
  <c r="B63" i="16" s="1"/>
  <c r="A64" i="16"/>
  <c r="B64" i="16" s="1"/>
  <c r="A65" i="16"/>
  <c r="B65" i="16" s="1"/>
  <c r="A66" i="16"/>
  <c r="C66" i="16" s="1"/>
  <c r="A67" i="16"/>
  <c r="B67" i="16" s="1"/>
  <c r="A68" i="16"/>
  <c r="B68" i="16" s="1"/>
  <c r="A69" i="16"/>
  <c r="C69" i="16" s="1"/>
  <c r="A70" i="16"/>
  <c r="C70" i="16" s="1"/>
  <c r="A71" i="16"/>
  <c r="B71" i="16" s="1"/>
  <c r="A72" i="16"/>
  <c r="B72" i="16" s="1"/>
  <c r="A73" i="16"/>
  <c r="B73" i="16" s="1"/>
  <c r="A74" i="16"/>
  <c r="C74" i="16" s="1"/>
  <c r="A75" i="16"/>
  <c r="B75" i="16" s="1"/>
  <c r="A76" i="16"/>
  <c r="C76" i="16" s="1"/>
  <c r="A77" i="16"/>
  <c r="C77" i="16" s="1"/>
  <c r="A78" i="16"/>
  <c r="C78" i="16" s="1"/>
  <c r="A79" i="16"/>
  <c r="B79" i="16" s="1"/>
  <c r="A80" i="16"/>
  <c r="B80" i="16" s="1"/>
  <c r="A81" i="16"/>
  <c r="B81" i="16" s="1"/>
  <c r="A82" i="16"/>
  <c r="C82" i="16" s="1"/>
  <c r="A83" i="16"/>
  <c r="B83" i="16" s="1"/>
  <c r="A84" i="16"/>
  <c r="C84" i="16" s="1"/>
  <c r="A85" i="16"/>
  <c r="C85" i="16" s="1"/>
  <c r="A86" i="16"/>
  <c r="C86" i="16" s="1"/>
  <c r="A87" i="16"/>
  <c r="B87" i="16" s="1"/>
  <c r="A88" i="16"/>
  <c r="B88" i="16" s="1"/>
  <c r="A89" i="16"/>
  <c r="B89" i="16" s="1"/>
  <c r="A90" i="16"/>
  <c r="C90" i="16" s="1"/>
  <c r="A91" i="16"/>
  <c r="B91" i="16" s="1"/>
  <c r="A92" i="16"/>
  <c r="C92" i="16" s="1"/>
  <c r="A93" i="16"/>
  <c r="C93" i="16" s="1"/>
  <c r="A94" i="16"/>
  <c r="C94" i="16" s="1"/>
  <c r="A95" i="16"/>
  <c r="B95" i="16" s="1"/>
  <c r="A96" i="16"/>
  <c r="B96" i="16" s="1"/>
  <c r="A97" i="16"/>
  <c r="B97" i="16" s="1"/>
  <c r="A98" i="16"/>
  <c r="C98" i="16" s="1"/>
  <c r="A99" i="16"/>
  <c r="B99" i="16" s="1"/>
  <c r="A100" i="16"/>
  <c r="B100" i="16" s="1"/>
  <c r="A101" i="16"/>
  <c r="C101" i="16" s="1"/>
  <c r="A102" i="16"/>
  <c r="C102" i="16" s="1"/>
  <c r="A103" i="16"/>
  <c r="B103" i="16" s="1"/>
  <c r="A104" i="16"/>
  <c r="B104" i="16" s="1"/>
  <c r="A105" i="16"/>
  <c r="B105" i="16" s="1"/>
  <c r="A106" i="16"/>
  <c r="C106" i="16" s="1"/>
  <c r="A107" i="16"/>
  <c r="B107" i="16" s="1"/>
  <c r="A108" i="16"/>
  <c r="C108" i="16" s="1"/>
  <c r="A109" i="16"/>
  <c r="C109" i="16" s="1"/>
  <c r="A110" i="16"/>
  <c r="C110" i="16" s="1"/>
  <c r="A111" i="16"/>
  <c r="B111" i="16" s="1"/>
  <c r="A112" i="16"/>
  <c r="B112" i="16" s="1"/>
  <c r="A113" i="16"/>
  <c r="B113" i="16" s="1"/>
  <c r="A114" i="16"/>
  <c r="C114" i="16" s="1"/>
  <c r="A115" i="16"/>
  <c r="B115" i="16" s="1"/>
  <c r="A116" i="16"/>
  <c r="C116" i="16" s="1"/>
  <c r="A117" i="16"/>
  <c r="C117" i="16" s="1"/>
  <c r="A118" i="16"/>
  <c r="C118" i="16" s="1"/>
  <c r="A119" i="16"/>
  <c r="B119" i="16" s="1"/>
  <c r="A120" i="16"/>
  <c r="B120" i="16" s="1"/>
  <c r="A121" i="16"/>
  <c r="C121" i="16" s="1"/>
  <c r="A3" i="16"/>
  <c r="B3" i="16" s="1"/>
  <c r="L48" i="19" l="1"/>
  <c r="J48" i="19"/>
  <c r="B14" i="16"/>
  <c r="B116" i="16"/>
  <c r="B93" i="16"/>
  <c r="B70" i="16"/>
  <c r="B52" i="16"/>
  <c r="B29" i="16"/>
  <c r="C68" i="16"/>
  <c r="B13" i="16"/>
  <c r="B110" i="16"/>
  <c r="B92" i="16"/>
  <c r="B69" i="16"/>
  <c r="B46" i="16"/>
  <c r="B28" i="16"/>
  <c r="C60" i="16"/>
  <c r="B12" i="16"/>
  <c r="B109" i="16"/>
  <c r="B86" i="16"/>
  <c r="B45" i="16"/>
  <c r="B23" i="16"/>
  <c r="B7" i="16"/>
  <c r="B108" i="16"/>
  <c r="B85" i="16"/>
  <c r="B62" i="16"/>
  <c r="B44" i="16"/>
  <c r="B22" i="16"/>
  <c r="B6" i="16"/>
  <c r="B102" i="16"/>
  <c r="B84" i="16"/>
  <c r="B61" i="16"/>
  <c r="B38" i="16"/>
  <c r="C100" i="16"/>
  <c r="C36" i="16"/>
  <c r="B21" i="16"/>
  <c r="B5" i="16"/>
  <c r="B101" i="16"/>
  <c r="B78" i="16"/>
  <c r="B37" i="16"/>
  <c r="B20" i="16"/>
  <c r="B118" i="16"/>
  <c r="B77" i="16"/>
  <c r="B54" i="16"/>
  <c r="B15" i="16"/>
  <c r="B117" i="16"/>
  <c r="B94" i="16"/>
  <c r="B76" i="16"/>
  <c r="B53" i="16"/>
  <c r="B30" i="16"/>
  <c r="B4" i="16"/>
  <c r="C115" i="16"/>
  <c r="C107" i="16"/>
  <c r="C99" i="16"/>
  <c r="C91" i="16"/>
  <c r="C83" i="16"/>
  <c r="C75" i="16"/>
  <c r="C67" i="16"/>
  <c r="C59" i="16"/>
  <c r="C51" i="16"/>
  <c r="C43" i="16"/>
  <c r="C35" i="16"/>
  <c r="C27" i="16"/>
  <c r="C19" i="16"/>
  <c r="C11" i="16"/>
  <c r="C3" i="16"/>
  <c r="C113" i="16"/>
  <c r="C105" i="16"/>
  <c r="C97" i="16"/>
  <c r="C89" i="16"/>
  <c r="C81" i="16"/>
  <c r="C73" i="16"/>
  <c r="C65" i="16"/>
  <c r="C57" i="16"/>
  <c r="C49" i="16"/>
  <c r="C41" i="16"/>
  <c r="C33" i="16"/>
  <c r="C9" i="16"/>
  <c r="B114" i="16"/>
  <c r="B106" i="16"/>
  <c r="B98" i="16"/>
  <c r="B90" i="16"/>
  <c r="B82" i="16"/>
  <c r="B74" i="16"/>
  <c r="B66" i="16"/>
  <c r="B58" i="16"/>
  <c r="B50" i="16"/>
  <c r="B42" i="16"/>
  <c r="B34" i="16"/>
  <c r="C120" i="16"/>
  <c r="C112" i="16"/>
  <c r="C104" i="16"/>
  <c r="C96" i="16"/>
  <c r="C88" i="16"/>
  <c r="C80" i="16"/>
  <c r="C72" i="16"/>
  <c r="C64" i="16"/>
  <c r="C56" i="16"/>
  <c r="C48" i="16"/>
  <c r="C40" i="16"/>
  <c r="C32" i="16"/>
  <c r="C24" i="16"/>
  <c r="C16" i="16"/>
  <c r="C8" i="16"/>
  <c r="B26" i="16"/>
  <c r="B18" i="16"/>
  <c r="B10" i="16"/>
  <c r="B121" i="16"/>
  <c r="C119" i="16"/>
  <c r="C111" i="16"/>
  <c r="C103" i="16"/>
  <c r="C95" i="16"/>
  <c r="C87" i="16"/>
  <c r="C79" i="16"/>
  <c r="C71" i="16"/>
  <c r="C63" i="16"/>
  <c r="C55" i="16"/>
  <c r="C47" i="16"/>
  <c r="C39" i="16"/>
  <c r="C31" i="16"/>
  <c r="C25" i="16"/>
  <c r="B17" i="16"/>
  <c r="B130" i="16"/>
  <c r="C367" i="5" l="1"/>
  <c r="C329" i="5"/>
  <c r="L163" i="16"/>
  <c r="M163" i="16" s="1"/>
  <c r="N163" i="16" s="1"/>
  <c r="Y200" i="16"/>
  <c r="Y201" i="16"/>
  <c r="I37" i="19"/>
  <c r="I13" i="19"/>
  <c r="I33" i="19"/>
  <c r="E38" i="19"/>
  <c r="I12" i="19"/>
  <c r="I32" i="19"/>
  <c r="I31" i="19"/>
  <c r="I11" i="19"/>
  <c r="E59" i="2"/>
  <c r="I4" i="20"/>
  <c r="E5" i="20"/>
  <c r="E6" i="20"/>
  <c r="E7" i="20"/>
  <c r="E8" i="20"/>
  <c r="E9" i="20"/>
  <c r="E10" i="20"/>
  <c r="G4" i="20"/>
  <c r="K4" i="20" s="1"/>
  <c r="G5" i="20"/>
  <c r="K5" i="20" s="1"/>
  <c r="G6" i="20"/>
  <c r="K6" i="20" s="1"/>
  <c r="G7" i="20"/>
  <c r="K7" i="20" s="1"/>
  <c r="G8" i="20"/>
  <c r="K8" i="20" s="1"/>
  <c r="G9" i="20"/>
  <c r="K9" i="20" s="1"/>
  <c r="G10" i="20"/>
  <c r="K10" i="20" s="1"/>
  <c r="I5" i="20"/>
  <c r="I6" i="20"/>
  <c r="I8" i="20"/>
  <c r="I9" i="20"/>
  <c r="I10" i="20"/>
  <c r="G20" i="20"/>
  <c r="G21" i="20"/>
  <c r="K21" i="20" s="1"/>
  <c r="G22" i="20"/>
  <c r="K22" i="20" s="1"/>
  <c r="G23" i="20"/>
  <c r="K23" i="20" s="1"/>
  <c r="G24" i="20"/>
  <c r="K24" i="20" s="1"/>
  <c r="G25" i="20"/>
  <c r="K25" i="20" s="1"/>
  <c r="Y202" i="16" l="1"/>
  <c r="J8" i="20"/>
  <c r="O8" i="20"/>
  <c r="M8" i="20"/>
  <c r="J7" i="20"/>
  <c r="O7" i="20"/>
  <c r="M7" i="20"/>
  <c r="J9" i="20"/>
  <c r="M9" i="20"/>
  <c r="O9" i="20"/>
  <c r="J6" i="20"/>
  <c r="O6" i="20"/>
  <c r="M6" i="20"/>
  <c r="K20" i="20"/>
  <c r="L20" i="20"/>
  <c r="J5" i="20"/>
  <c r="M5" i="20"/>
  <c r="O5" i="20"/>
  <c r="J10" i="20"/>
  <c r="M10" i="20"/>
  <c r="O10" i="20"/>
  <c r="L65" i="19"/>
  <c r="L64" i="19"/>
  <c r="L44" i="19"/>
  <c r="L73" i="19"/>
  <c r="L26" i="19"/>
  <c r="L25" i="19"/>
  <c r="L24" i="20"/>
  <c r="L25" i="20"/>
  <c r="L23" i="20"/>
  <c r="L22" i="20"/>
  <c r="L21" i="20"/>
  <c r="L4" i="20"/>
  <c r="L6" i="20"/>
  <c r="L5" i="20"/>
  <c r="L10" i="20"/>
  <c r="L9" i="20"/>
  <c r="L8" i="20"/>
  <c r="H7" i="20"/>
  <c r="I7" i="20" l="1"/>
  <c r="H12" i="20"/>
  <c r="L7" i="20"/>
  <c r="E6" i="2"/>
  <c r="E9" i="2"/>
  <c r="E10" i="2"/>
  <c r="E19" i="2"/>
  <c r="E21" i="2"/>
  <c r="E22" i="2"/>
  <c r="E26" i="2"/>
  <c r="E27" i="2"/>
  <c r="E28" i="2"/>
  <c r="E29" i="2"/>
  <c r="E32" i="2"/>
  <c r="E33" i="2"/>
  <c r="E35" i="2"/>
  <c r="E36" i="2"/>
  <c r="E39" i="2"/>
  <c r="E40" i="2"/>
  <c r="E41" i="2"/>
  <c r="E42" i="2"/>
  <c r="E43" i="2"/>
  <c r="E46" i="2"/>
  <c r="E47" i="2"/>
  <c r="E48" i="2"/>
  <c r="E49" i="2"/>
  <c r="E54" i="2"/>
  <c r="E55" i="2"/>
  <c r="E56" i="2"/>
  <c r="E308" i="16" l="1"/>
  <c r="D308" i="16"/>
  <c r="E307" i="16"/>
  <c r="D307" i="16"/>
  <c r="E306" i="16"/>
  <c r="D306" i="16"/>
  <c r="E305" i="16"/>
  <c r="D305" i="16"/>
  <c r="E261" i="16"/>
  <c r="D261" i="16"/>
  <c r="E260" i="16"/>
  <c r="D260" i="16"/>
  <c r="E259" i="16"/>
  <c r="D259" i="16"/>
  <c r="E258" i="16"/>
  <c r="D258" i="16"/>
  <c r="D211" i="16"/>
  <c r="E211" i="16"/>
  <c r="D212" i="16"/>
  <c r="E212" i="16"/>
  <c r="E213" i="16"/>
  <c r="D214" i="16"/>
  <c r="E214" i="16"/>
  <c r="A65" i="20"/>
  <c r="A49" i="20"/>
  <c r="A34" i="20"/>
  <c r="A19" i="20"/>
  <c r="B332" i="5" s="1"/>
  <c r="A4" i="20"/>
  <c r="A82" i="19"/>
  <c r="A63" i="19"/>
  <c r="A43" i="19"/>
  <c r="A24" i="19"/>
  <c r="A4" i="19"/>
  <c r="B139" i="16" l="1"/>
  <c r="C139" i="16" s="1"/>
  <c r="C43" i="5" s="1"/>
  <c r="L70" i="20" l="1"/>
  <c r="L69" i="20"/>
  <c r="L67" i="20"/>
  <c r="L68" i="20"/>
  <c r="D15" i="19"/>
  <c r="D14" i="19"/>
  <c r="D13" i="19"/>
  <c r="I16" i="12"/>
  <c r="I17" i="12"/>
  <c r="I18" i="12"/>
  <c r="I19" i="12"/>
  <c r="I20" i="12"/>
  <c r="I21" i="12"/>
  <c r="I22" i="12"/>
  <c r="I23" i="12"/>
  <c r="I24" i="12"/>
  <c r="I25" i="12"/>
  <c r="I26" i="12"/>
  <c r="I27" i="12"/>
  <c r="I28" i="12"/>
  <c r="I29" i="12"/>
  <c r="I30" i="12"/>
  <c r="I31" i="12"/>
  <c r="I32" i="12"/>
  <c r="I33" i="12"/>
  <c r="I34" i="12"/>
  <c r="I35" i="12"/>
  <c r="I36" i="12"/>
  <c r="I37" i="12"/>
  <c r="I38" i="12"/>
  <c r="I39" i="12"/>
  <c r="I40" i="12"/>
  <c r="I41" i="12"/>
  <c r="I42" i="12"/>
  <c r="I43" i="12"/>
  <c r="I44" i="12"/>
  <c r="I45" i="12"/>
  <c r="I46" i="12"/>
  <c r="I47" i="12"/>
  <c r="I48" i="12"/>
  <c r="I49" i="12"/>
  <c r="I50" i="12"/>
  <c r="I51" i="12"/>
  <c r="I52" i="12"/>
  <c r="I53" i="12"/>
  <c r="I54" i="12"/>
  <c r="I55" i="12"/>
  <c r="I56" i="12"/>
  <c r="I57" i="12"/>
  <c r="I58" i="12"/>
  <c r="I59" i="12"/>
  <c r="I60" i="12"/>
  <c r="I61" i="12"/>
  <c r="I62" i="12"/>
  <c r="I63" i="12"/>
  <c r="I64" i="12"/>
  <c r="I65" i="12"/>
  <c r="I66" i="12"/>
  <c r="I67" i="12"/>
  <c r="I68" i="12"/>
  <c r="I69" i="12"/>
  <c r="I70" i="12"/>
  <c r="I71" i="12"/>
  <c r="I72" i="12"/>
  <c r="I73" i="12"/>
  <c r="I74" i="12"/>
  <c r="I75" i="12"/>
  <c r="I76" i="12"/>
  <c r="I77" i="12"/>
  <c r="I78" i="12"/>
  <c r="I79" i="12"/>
  <c r="I80" i="12"/>
  <c r="I81" i="12"/>
  <c r="I82" i="12"/>
  <c r="I83" i="12"/>
  <c r="I84" i="12"/>
  <c r="I85" i="12"/>
  <c r="I86" i="12"/>
  <c r="I87" i="12"/>
  <c r="I88" i="12"/>
  <c r="I89" i="12"/>
  <c r="I90" i="12"/>
  <c r="I91" i="12"/>
  <c r="I92" i="12"/>
  <c r="I93" i="12"/>
  <c r="I94" i="12"/>
  <c r="I95" i="12"/>
  <c r="I96" i="12"/>
  <c r="I97" i="12"/>
  <c r="I98" i="12"/>
  <c r="I99" i="12"/>
  <c r="I100" i="12"/>
  <c r="I101" i="12"/>
  <c r="I102" i="12"/>
  <c r="I103" i="12"/>
  <c r="I104" i="12"/>
  <c r="I105" i="12"/>
  <c r="I106" i="12"/>
  <c r="I107" i="12"/>
  <c r="I108" i="12"/>
  <c r="I109" i="12"/>
  <c r="I110" i="12"/>
  <c r="I111" i="12"/>
  <c r="I112" i="12"/>
  <c r="I113" i="12"/>
  <c r="I114" i="12"/>
  <c r="I115" i="12"/>
  <c r="I116" i="12"/>
  <c r="I117" i="12"/>
  <c r="I118" i="12"/>
  <c r="I119" i="12"/>
  <c r="I120" i="12"/>
  <c r="I121" i="12"/>
  <c r="I122" i="12"/>
  <c r="I123" i="12"/>
  <c r="I124" i="12"/>
  <c r="I125" i="12"/>
  <c r="I126" i="12"/>
  <c r="I127" i="12"/>
  <c r="I128" i="12"/>
  <c r="I129" i="12"/>
  <c r="I130" i="12"/>
  <c r="I131" i="12"/>
  <c r="I132" i="12"/>
  <c r="I133" i="12"/>
  <c r="I134" i="12"/>
  <c r="I135" i="12"/>
  <c r="I136" i="12"/>
  <c r="I137" i="12"/>
  <c r="I138" i="12"/>
  <c r="I139" i="12"/>
  <c r="I140" i="12"/>
  <c r="I141" i="12"/>
  <c r="I142" i="12"/>
  <c r="I143" i="12"/>
  <c r="I144" i="12"/>
  <c r="I145" i="12"/>
  <c r="I146" i="12"/>
  <c r="I147" i="12"/>
  <c r="I148" i="12"/>
  <c r="I149" i="12"/>
  <c r="I150" i="12"/>
  <c r="I151" i="12"/>
  <c r="I152" i="12"/>
  <c r="I153" i="12"/>
  <c r="I154" i="12"/>
  <c r="I155" i="12"/>
  <c r="I156" i="12"/>
  <c r="I157" i="12"/>
  <c r="I158" i="12"/>
  <c r="I159" i="12"/>
  <c r="I160" i="12"/>
  <c r="I161" i="12"/>
  <c r="I162" i="12"/>
  <c r="I163" i="12"/>
  <c r="I164" i="12"/>
  <c r="I165" i="12"/>
  <c r="I166" i="12"/>
  <c r="I167" i="12"/>
  <c r="I168" i="12"/>
  <c r="I169" i="12"/>
  <c r="I170" i="12"/>
  <c r="I171" i="12"/>
  <c r="I172" i="12"/>
  <c r="I173" i="12"/>
  <c r="I174" i="12"/>
  <c r="I175" i="12"/>
  <c r="I176" i="12"/>
  <c r="I177" i="12"/>
  <c r="I178" i="12"/>
  <c r="I179" i="12"/>
  <c r="I180" i="12"/>
  <c r="I181" i="12"/>
  <c r="I182" i="12"/>
  <c r="I183" i="12"/>
  <c r="I184" i="12"/>
  <c r="I185" i="12"/>
  <c r="I186" i="12"/>
  <c r="I187" i="12"/>
  <c r="I188" i="12"/>
  <c r="I189" i="12"/>
  <c r="I190" i="12"/>
  <c r="I191" i="12"/>
  <c r="I192" i="12"/>
  <c r="I193" i="12"/>
  <c r="I194" i="12"/>
  <c r="I195" i="12"/>
  <c r="I196" i="12"/>
  <c r="I197" i="12"/>
  <c r="I198" i="12"/>
  <c r="I199" i="12"/>
  <c r="I200" i="12"/>
  <c r="I201" i="12"/>
  <c r="I202" i="12"/>
  <c r="I203" i="12"/>
  <c r="I204" i="12"/>
  <c r="I205" i="12"/>
  <c r="I206" i="12"/>
  <c r="I207" i="12"/>
  <c r="I208" i="12"/>
  <c r="I209" i="12"/>
  <c r="I210" i="12"/>
  <c r="I211" i="12"/>
  <c r="I212" i="12"/>
  <c r="I213" i="12"/>
  <c r="I214" i="12"/>
  <c r="I215" i="12"/>
  <c r="I216" i="12"/>
  <c r="I217" i="12"/>
  <c r="I218" i="12"/>
  <c r="I219" i="12"/>
  <c r="I220" i="12"/>
  <c r="I221" i="12"/>
  <c r="I222" i="12"/>
  <c r="I223" i="12"/>
  <c r="I224" i="12"/>
  <c r="I225" i="12"/>
  <c r="I226" i="12"/>
  <c r="I227" i="12"/>
  <c r="I228" i="12"/>
  <c r="I229" i="12"/>
  <c r="I230" i="12"/>
  <c r="I231" i="12"/>
  <c r="I232" i="12"/>
  <c r="I233" i="12"/>
  <c r="I234" i="12"/>
  <c r="I235" i="12"/>
  <c r="I236" i="12"/>
  <c r="I237" i="12"/>
  <c r="I238" i="12"/>
  <c r="I239" i="12"/>
  <c r="I240" i="12"/>
  <c r="I241" i="12"/>
  <c r="I242" i="12"/>
  <c r="I243" i="12"/>
  <c r="I244" i="12"/>
  <c r="I245" i="12"/>
  <c r="I246" i="12"/>
  <c r="I247" i="12"/>
  <c r="I248" i="12"/>
  <c r="I249" i="12"/>
  <c r="I250" i="12"/>
  <c r="I251" i="12"/>
  <c r="I252" i="12"/>
  <c r="I253" i="12"/>
  <c r="I254" i="12"/>
  <c r="I255" i="12"/>
  <c r="I256" i="12"/>
  <c r="I257" i="12"/>
  <c r="I258" i="12"/>
  <c r="I259" i="12"/>
  <c r="I260" i="12"/>
  <c r="I261" i="12"/>
  <c r="I262" i="12"/>
  <c r="I263" i="12"/>
  <c r="I264" i="12"/>
  <c r="I265" i="12"/>
  <c r="I266" i="12"/>
  <c r="I267" i="12"/>
  <c r="I268" i="12"/>
  <c r="I269" i="12"/>
  <c r="I270" i="12"/>
  <c r="I271" i="12"/>
  <c r="I272" i="12"/>
  <c r="I273" i="12"/>
  <c r="I274" i="12"/>
  <c r="I275" i="12"/>
  <c r="I276" i="12"/>
  <c r="I277" i="12"/>
  <c r="I278" i="12"/>
  <c r="I279" i="12"/>
  <c r="I280" i="12"/>
  <c r="I281" i="12"/>
  <c r="I282" i="12"/>
  <c r="I283" i="12"/>
  <c r="I284" i="12"/>
  <c r="I285" i="12"/>
  <c r="I286" i="12"/>
  <c r="I287" i="12"/>
  <c r="I288" i="12"/>
  <c r="I289" i="12"/>
  <c r="I290" i="12"/>
  <c r="I291" i="12"/>
  <c r="I292" i="12"/>
  <c r="I293" i="12"/>
  <c r="I294" i="12"/>
  <c r="I295" i="12"/>
  <c r="I296" i="12"/>
  <c r="I297" i="12"/>
  <c r="I298" i="12"/>
  <c r="I299" i="12"/>
  <c r="I300" i="12"/>
  <c r="I301" i="12"/>
  <c r="I302" i="12"/>
  <c r="I303" i="12"/>
  <c r="I304" i="12"/>
  <c r="I305" i="12"/>
  <c r="I306" i="12"/>
  <c r="I307" i="12"/>
  <c r="I308" i="12"/>
  <c r="I309" i="12"/>
  <c r="I310" i="12"/>
  <c r="I311" i="12"/>
  <c r="I312" i="12"/>
  <c r="I313" i="12"/>
  <c r="I314" i="12"/>
  <c r="I315" i="12"/>
  <c r="I316" i="12"/>
  <c r="I317" i="12"/>
  <c r="I318" i="12"/>
  <c r="I319" i="12"/>
  <c r="I320" i="12"/>
  <c r="I321" i="12"/>
  <c r="I322" i="12"/>
  <c r="I323" i="12"/>
  <c r="I324" i="12"/>
  <c r="I325" i="12"/>
  <c r="I326" i="12"/>
  <c r="I327" i="12"/>
  <c r="I328" i="12"/>
  <c r="I329" i="12"/>
  <c r="I330" i="12"/>
  <c r="I331" i="12"/>
  <c r="I332" i="12"/>
  <c r="I333" i="12"/>
  <c r="I334" i="12"/>
  <c r="I335" i="12"/>
  <c r="I336" i="12"/>
  <c r="I337" i="12"/>
  <c r="I338" i="12"/>
  <c r="I339" i="12"/>
  <c r="I340" i="12"/>
  <c r="I341" i="12"/>
  <c r="I342" i="12"/>
  <c r="I343" i="12"/>
  <c r="I344" i="12"/>
  <c r="I345" i="12"/>
  <c r="I346" i="12"/>
  <c r="I347" i="12"/>
  <c r="I348" i="12"/>
  <c r="I349" i="12"/>
  <c r="I350" i="12"/>
  <c r="I351" i="12"/>
  <c r="I352" i="12"/>
  <c r="I353" i="12"/>
  <c r="I354" i="12"/>
  <c r="I355" i="12"/>
  <c r="I356" i="12"/>
  <c r="I357" i="12"/>
  <c r="I358" i="12"/>
  <c r="I359" i="12"/>
  <c r="I360" i="12"/>
  <c r="I361" i="12"/>
  <c r="I362" i="12"/>
  <c r="I363" i="12"/>
  <c r="I364" i="12"/>
  <c r="I365" i="12"/>
  <c r="I366" i="12"/>
  <c r="I367" i="12"/>
  <c r="I368" i="12"/>
  <c r="I369" i="12"/>
  <c r="I370" i="12"/>
  <c r="I371" i="12"/>
  <c r="I372" i="12"/>
  <c r="I373" i="12"/>
  <c r="I374" i="12"/>
  <c r="I375" i="12"/>
  <c r="I376" i="12"/>
  <c r="I377" i="12"/>
  <c r="I378" i="12"/>
  <c r="I379" i="12"/>
  <c r="I380" i="12"/>
  <c r="I381" i="12"/>
  <c r="I382" i="12"/>
  <c r="I383" i="12"/>
  <c r="I384" i="12"/>
  <c r="I385" i="12"/>
  <c r="I386" i="12"/>
  <c r="I387" i="12"/>
  <c r="I388" i="12"/>
  <c r="I389" i="12"/>
  <c r="I390" i="12"/>
  <c r="I391" i="12"/>
  <c r="I392" i="12"/>
  <c r="I393" i="12"/>
  <c r="I394" i="12"/>
  <c r="I395" i="12"/>
  <c r="I396" i="12"/>
  <c r="I397" i="12"/>
  <c r="I398" i="12"/>
  <c r="I399" i="12"/>
  <c r="I400" i="12"/>
  <c r="I401" i="12"/>
  <c r="I402" i="12"/>
  <c r="I403" i="12"/>
  <c r="I404" i="12"/>
  <c r="I405" i="12"/>
  <c r="I406" i="12"/>
  <c r="I407" i="12"/>
  <c r="I408" i="12"/>
  <c r="I409" i="12"/>
  <c r="I410" i="12"/>
  <c r="I411" i="12"/>
  <c r="I412" i="12"/>
  <c r="I413" i="12"/>
  <c r="I414" i="12"/>
  <c r="I415" i="12"/>
  <c r="I416" i="12"/>
  <c r="I417" i="12"/>
  <c r="I418" i="12"/>
  <c r="I419" i="12"/>
  <c r="I420" i="12"/>
  <c r="I421" i="12"/>
  <c r="I422" i="12"/>
  <c r="I423" i="12"/>
  <c r="I424" i="12"/>
  <c r="I425" i="12"/>
  <c r="I426" i="12"/>
  <c r="I427" i="12"/>
  <c r="I428" i="12"/>
  <c r="I429" i="12"/>
  <c r="I430" i="12"/>
  <c r="I431" i="12"/>
  <c r="I432" i="12"/>
  <c r="I433" i="12"/>
  <c r="I434" i="12"/>
  <c r="I435" i="12"/>
  <c r="I436" i="12"/>
  <c r="I437" i="12"/>
  <c r="I438" i="12"/>
  <c r="I439" i="12"/>
  <c r="I440" i="12"/>
  <c r="I441" i="12"/>
  <c r="I442" i="12"/>
  <c r="I443" i="12"/>
  <c r="I444" i="12"/>
  <c r="I445" i="12"/>
  <c r="I446" i="12"/>
  <c r="I447" i="12"/>
  <c r="I448" i="12"/>
  <c r="I449" i="12"/>
  <c r="I450" i="12"/>
  <c r="I451" i="12"/>
  <c r="I452" i="12"/>
  <c r="I453" i="12"/>
  <c r="I454" i="12"/>
  <c r="I455" i="12"/>
  <c r="I456" i="12"/>
  <c r="I457" i="12"/>
  <c r="I458" i="12"/>
  <c r="I459" i="12"/>
  <c r="I460" i="12"/>
  <c r="I461" i="12"/>
  <c r="I462" i="12"/>
  <c r="I463" i="12"/>
  <c r="I464" i="12"/>
  <c r="I465" i="12"/>
  <c r="I466" i="12"/>
  <c r="I467" i="12"/>
  <c r="I468" i="12"/>
  <c r="I469" i="12"/>
  <c r="I470" i="12"/>
  <c r="I471" i="12"/>
  <c r="I472" i="12"/>
  <c r="I473" i="12"/>
  <c r="I474" i="12"/>
  <c r="I475" i="12"/>
  <c r="I476" i="12"/>
  <c r="I477" i="12"/>
  <c r="I478" i="12"/>
  <c r="I479" i="12"/>
  <c r="I480" i="12"/>
  <c r="I481" i="12"/>
  <c r="I482" i="12"/>
  <c r="I483" i="12"/>
  <c r="I484" i="12"/>
  <c r="I485" i="12"/>
  <c r="I486" i="12"/>
  <c r="I487" i="12"/>
  <c r="I488" i="12"/>
  <c r="I489" i="12"/>
  <c r="I490" i="12"/>
  <c r="I491" i="12"/>
  <c r="I492" i="12"/>
  <c r="I493" i="12"/>
  <c r="I494" i="12"/>
  <c r="I495" i="12"/>
  <c r="I496" i="12"/>
  <c r="I497" i="12"/>
  <c r="I498" i="12"/>
  <c r="I499" i="12"/>
  <c r="I500" i="12"/>
  <c r="I501" i="12"/>
  <c r="I502" i="12"/>
  <c r="I503" i="12"/>
  <c r="I504" i="12"/>
  <c r="I505" i="12"/>
  <c r="I506" i="12"/>
  <c r="I507" i="12"/>
  <c r="I508" i="12"/>
  <c r="I509" i="12"/>
  <c r="I510" i="12"/>
  <c r="I511" i="12"/>
  <c r="I512" i="12"/>
  <c r="I513" i="12"/>
  <c r="I514" i="12"/>
  <c r="I515" i="12"/>
  <c r="I516" i="12"/>
  <c r="I517" i="12"/>
  <c r="I518" i="12"/>
  <c r="I519" i="12"/>
  <c r="I520" i="12"/>
  <c r="I521" i="12"/>
  <c r="I522" i="12"/>
  <c r="I523" i="12"/>
  <c r="I524" i="12"/>
  <c r="I525" i="12"/>
  <c r="I526" i="12"/>
  <c r="I527" i="12"/>
  <c r="I528" i="12"/>
  <c r="I529" i="12"/>
  <c r="I530" i="12"/>
  <c r="I531" i="12"/>
  <c r="I532" i="12"/>
  <c r="I533" i="12"/>
  <c r="I534" i="12"/>
  <c r="I535" i="12"/>
  <c r="I536" i="12"/>
  <c r="I537" i="12"/>
  <c r="I538" i="12"/>
  <c r="I539" i="12"/>
  <c r="I540" i="12"/>
  <c r="I541" i="12"/>
  <c r="I542" i="12"/>
  <c r="I543" i="12"/>
  <c r="I544" i="12"/>
  <c r="I545" i="12"/>
  <c r="I546" i="12"/>
  <c r="I547" i="12"/>
  <c r="I548" i="12"/>
  <c r="I549" i="12"/>
  <c r="I550" i="12"/>
  <c r="I551" i="12"/>
  <c r="I552" i="12"/>
  <c r="I553" i="12"/>
  <c r="I554" i="12"/>
  <c r="I555" i="12"/>
  <c r="I556" i="12"/>
  <c r="I557" i="12"/>
  <c r="I558" i="12"/>
  <c r="I559" i="12"/>
  <c r="I560" i="12"/>
  <c r="I561" i="12"/>
  <c r="I562" i="12"/>
  <c r="I563" i="12"/>
  <c r="I564" i="12"/>
  <c r="I565" i="12"/>
  <c r="I566" i="12"/>
  <c r="I567" i="12"/>
  <c r="I568" i="12"/>
  <c r="I569" i="12"/>
  <c r="I570" i="12"/>
  <c r="I571" i="12"/>
  <c r="I572" i="12"/>
  <c r="I573" i="12"/>
  <c r="I574" i="12"/>
  <c r="I575" i="12"/>
  <c r="I576" i="12"/>
  <c r="I577" i="12"/>
  <c r="I578" i="12"/>
  <c r="I579" i="12"/>
  <c r="I580" i="12"/>
  <c r="I581" i="12"/>
  <c r="I582" i="12"/>
  <c r="I583" i="12"/>
  <c r="I584" i="12"/>
  <c r="I585" i="12"/>
  <c r="I586" i="12"/>
  <c r="I587" i="12"/>
  <c r="I588" i="12"/>
  <c r="I589" i="12"/>
  <c r="I590" i="12"/>
  <c r="I591" i="12"/>
  <c r="I592" i="12"/>
  <c r="I593" i="12"/>
  <c r="I594" i="12"/>
  <c r="I595" i="12"/>
  <c r="I596" i="12"/>
  <c r="I597" i="12"/>
  <c r="I598" i="12"/>
  <c r="I599" i="12"/>
  <c r="I600" i="12"/>
  <c r="I601" i="12"/>
  <c r="I602" i="12"/>
  <c r="I603" i="12"/>
  <c r="I604" i="12"/>
  <c r="I605" i="12"/>
  <c r="I606" i="12"/>
  <c r="I607" i="12"/>
  <c r="I608" i="12"/>
  <c r="I609" i="12"/>
  <c r="I610" i="12"/>
  <c r="I611" i="12"/>
  <c r="I612" i="12"/>
  <c r="I613" i="12"/>
  <c r="I614" i="12"/>
  <c r="I615" i="12"/>
  <c r="I616" i="12"/>
  <c r="I617" i="12"/>
  <c r="I618" i="12"/>
  <c r="I619" i="12"/>
  <c r="I620" i="12"/>
  <c r="I621" i="12"/>
  <c r="I622" i="12"/>
  <c r="I623" i="12"/>
  <c r="I624" i="12"/>
  <c r="I625" i="12"/>
  <c r="I626" i="12"/>
  <c r="I627" i="12"/>
  <c r="I628" i="12"/>
  <c r="I629" i="12"/>
  <c r="I630" i="12"/>
  <c r="I631" i="12"/>
  <c r="I632" i="12"/>
  <c r="I633" i="12"/>
  <c r="I634" i="12"/>
  <c r="I635" i="12"/>
  <c r="I636" i="12"/>
  <c r="I637" i="12"/>
  <c r="I638" i="12"/>
  <c r="I639" i="12"/>
  <c r="I640" i="12"/>
  <c r="I641" i="12"/>
  <c r="I642" i="12"/>
  <c r="I643" i="12"/>
  <c r="I644" i="12"/>
  <c r="I645" i="12"/>
  <c r="I646" i="12"/>
  <c r="I647" i="12"/>
  <c r="I648" i="12"/>
  <c r="I649" i="12"/>
  <c r="I650" i="12"/>
  <c r="I651" i="12"/>
  <c r="I652" i="12"/>
  <c r="I653" i="12"/>
  <c r="I654" i="12"/>
  <c r="I655" i="12"/>
  <c r="I656" i="12"/>
  <c r="I657" i="12"/>
  <c r="I658" i="12"/>
  <c r="I659" i="12"/>
  <c r="I660" i="12"/>
  <c r="I661" i="12"/>
  <c r="I662" i="12"/>
  <c r="I663" i="12"/>
  <c r="I664" i="12"/>
  <c r="I665" i="12"/>
  <c r="I666" i="12"/>
  <c r="I667" i="12"/>
  <c r="I668" i="12"/>
  <c r="I669" i="12"/>
  <c r="I670" i="12"/>
  <c r="I671" i="12"/>
  <c r="I672" i="12"/>
  <c r="I673" i="12"/>
  <c r="I674" i="12"/>
  <c r="I675" i="12"/>
  <c r="I676" i="12"/>
  <c r="I677" i="12"/>
  <c r="I678" i="12"/>
  <c r="I679" i="12"/>
  <c r="I680" i="12"/>
  <c r="I681" i="12"/>
  <c r="I682" i="12"/>
  <c r="I683" i="12"/>
  <c r="I684" i="12"/>
  <c r="I685" i="12"/>
  <c r="I686" i="12"/>
  <c r="I687" i="12"/>
  <c r="I688" i="12"/>
  <c r="I689" i="12"/>
  <c r="I690" i="12"/>
  <c r="I691" i="12"/>
  <c r="I692" i="12"/>
  <c r="I693" i="12"/>
  <c r="I694" i="12"/>
  <c r="I695" i="12"/>
  <c r="I696" i="12"/>
  <c r="I697" i="12"/>
  <c r="I698" i="12"/>
  <c r="I699" i="12"/>
  <c r="I700" i="12"/>
  <c r="I701" i="12"/>
  <c r="I702" i="12"/>
  <c r="I703" i="12"/>
  <c r="I704" i="12"/>
  <c r="I705" i="12"/>
  <c r="I706" i="12"/>
  <c r="I707" i="12"/>
  <c r="I708" i="12"/>
  <c r="I709" i="12"/>
  <c r="I710" i="12"/>
  <c r="I711" i="12"/>
  <c r="I712" i="12"/>
  <c r="I713" i="12"/>
  <c r="I714" i="12"/>
  <c r="I715" i="12"/>
  <c r="I716" i="12"/>
  <c r="I717" i="12"/>
  <c r="I718" i="12"/>
  <c r="I719" i="12"/>
  <c r="I720" i="12"/>
  <c r="I721" i="12"/>
  <c r="I722" i="12"/>
  <c r="I723" i="12"/>
  <c r="I724" i="12"/>
  <c r="I725" i="12"/>
  <c r="I726" i="12"/>
  <c r="I727" i="12"/>
  <c r="I728" i="12"/>
  <c r="I729" i="12"/>
  <c r="I730" i="12"/>
  <c r="I731" i="12"/>
  <c r="I732" i="12"/>
  <c r="I733" i="12"/>
  <c r="I734" i="12"/>
  <c r="I735" i="12"/>
  <c r="I736" i="12"/>
  <c r="I737" i="12"/>
  <c r="I738" i="12"/>
  <c r="I739" i="12"/>
  <c r="I740" i="12"/>
  <c r="I741" i="12"/>
  <c r="I742" i="12"/>
  <c r="I743" i="12"/>
  <c r="I744" i="12"/>
  <c r="I745" i="12"/>
  <c r="I746" i="12"/>
  <c r="I747" i="12"/>
  <c r="I748" i="12"/>
  <c r="I749" i="12"/>
  <c r="I750" i="12"/>
  <c r="I751" i="12"/>
  <c r="I752" i="12"/>
  <c r="I753" i="12"/>
  <c r="I754" i="12"/>
  <c r="I755" i="12"/>
  <c r="I756" i="12"/>
  <c r="I757" i="12"/>
  <c r="I758" i="12"/>
  <c r="I759" i="12"/>
  <c r="I760" i="12"/>
  <c r="I761" i="12"/>
  <c r="I762" i="12"/>
  <c r="I763" i="12"/>
  <c r="I764" i="12"/>
  <c r="I765" i="12"/>
  <c r="I766" i="12"/>
  <c r="I767" i="12"/>
  <c r="I768" i="12"/>
  <c r="I769" i="12"/>
  <c r="I770" i="12"/>
  <c r="I771" i="12"/>
  <c r="I772" i="12"/>
  <c r="I773" i="12"/>
  <c r="I774" i="12"/>
  <c r="I775" i="12"/>
  <c r="I776" i="12"/>
  <c r="I777" i="12"/>
  <c r="I778" i="12"/>
  <c r="I779" i="12"/>
  <c r="I780" i="12"/>
  <c r="I781" i="12"/>
  <c r="I782" i="12"/>
  <c r="I783" i="12"/>
  <c r="I784" i="12"/>
  <c r="I785" i="12"/>
  <c r="I786" i="12"/>
  <c r="I787" i="12"/>
  <c r="I788" i="12"/>
  <c r="I789" i="12"/>
  <c r="I790" i="12"/>
  <c r="I791" i="12"/>
  <c r="I792" i="12"/>
  <c r="I793" i="12"/>
  <c r="I794" i="12"/>
  <c r="I795" i="12"/>
  <c r="I796" i="12"/>
  <c r="I797" i="12"/>
  <c r="I798" i="12"/>
  <c r="I799" i="12"/>
  <c r="I800" i="12"/>
  <c r="I801" i="12"/>
  <c r="I802" i="12"/>
  <c r="I803" i="12"/>
  <c r="I804" i="12"/>
  <c r="I805" i="12"/>
  <c r="I806" i="12"/>
  <c r="I807" i="12"/>
  <c r="I808" i="12"/>
  <c r="I809" i="12"/>
  <c r="I810" i="12"/>
  <c r="I811" i="12"/>
  <c r="I812" i="12"/>
  <c r="I813" i="12"/>
  <c r="I814" i="12"/>
  <c r="I815" i="12"/>
  <c r="I816" i="12"/>
  <c r="I817" i="12"/>
  <c r="I818" i="12"/>
  <c r="I819" i="12"/>
  <c r="I820" i="12"/>
  <c r="I821" i="12"/>
  <c r="I822" i="12"/>
  <c r="I823" i="12"/>
  <c r="I824" i="12"/>
  <c r="I825" i="12"/>
  <c r="I826" i="12"/>
  <c r="I827" i="12"/>
  <c r="I828" i="12"/>
  <c r="I829" i="12"/>
  <c r="I830" i="12"/>
  <c r="I831" i="12"/>
  <c r="I832" i="12"/>
  <c r="I833" i="12"/>
  <c r="I834" i="12"/>
  <c r="I835" i="12"/>
  <c r="I836" i="12"/>
  <c r="I837" i="12"/>
  <c r="I838" i="12"/>
  <c r="I839" i="12"/>
  <c r="I840" i="12"/>
  <c r="I841" i="12"/>
  <c r="I842" i="12"/>
  <c r="I843" i="12"/>
  <c r="I844" i="12"/>
  <c r="I845" i="12"/>
  <c r="I846" i="12"/>
  <c r="I847" i="12"/>
  <c r="I848" i="12"/>
  <c r="I849" i="12"/>
  <c r="I850" i="12"/>
  <c r="I851" i="12"/>
  <c r="I852" i="12"/>
  <c r="I853" i="12"/>
  <c r="I854" i="12"/>
  <c r="I855" i="12"/>
  <c r="I856" i="12"/>
  <c r="I857" i="12"/>
  <c r="I858" i="12"/>
  <c r="I859" i="12"/>
  <c r="I860" i="12"/>
  <c r="I861" i="12"/>
  <c r="I862" i="12"/>
  <c r="I863" i="12"/>
  <c r="I864" i="12"/>
  <c r="I865" i="12"/>
  <c r="I866" i="12"/>
  <c r="I867" i="12"/>
  <c r="I868" i="12"/>
  <c r="I869" i="12"/>
  <c r="I870" i="12"/>
  <c r="I871" i="12"/>
  <c r="I872" i="12"/>
  <c r="I873" i="12"/>
  <c r="I874" i="12"/>
  <c r="I875" i="12"/>
  <c r="I876" i="12"/>
  <c r="I877" i="12"/>
  <c r="I878" i="12"/>
  <c r="I879" i="12"/>
  <c r="I880" i="12"/>
  <c r="I881" i="12"/>
  <c r="I882" i="12"/>
  <c r="I883" i="12"/>
  <c r="I884" i="12"/>
  <c r="I885" i="12"/>
  <c r="I886" i="12"/>
  <c r="I887" i="12"/>
  <c r="I888" i="12"/>
  <c r="I889" i="12"/>
  <c r="I890" i="12"/>
  <c r="I891" i="12"/>
  <c r="I892" i="12"/>
  <c r="I893" i="12"/>
  <c r="I894" i="12"/>
  <c r="I895" i="12"/>
  <c r="I896" i="12"/>
  <c r="I897" i="12"/>
  <c r="I898" i="12"/>
  <c r="I899" i="12"/>
  <c r="I900" i="12"/>
  <c r="I901" i="12"/>
  <c r="I902" i="12"/>
  <c r="I903" i="12"/>
  <c r="I904" i="12"/>
  <c r="I905" i="12"/>
  <c r="I906" i="12"/>
  <c r="I907" i="12"/>
  <c r="I908" i="12"/>
  <c r="I909" i="12"/>
  <c r="I910" i="12"/>
  <c r="I911" i="12"/>
  <c r="I912" i="12"/>
  <c r="I913" i="12"/>
  <c r="I914" i="12"/>
  <c r="I915" i="12"/>
  <c r="I916" i="12"/>
  <c r="I917" i="12"/>
  <c r="I918" i="12"/>
  <c r="I919" i="12"/>
  <c r="I920" i="12"/>
  <c r="I921" i="12"/>
  <c r="I922" i="12"/>
  <c r="I923" i="12"/>
  <c r="I924" i="12"/>
  <c r="I925" i="12"/>
  <c r="I926" i="12"/>
  <c r="I927" i="12"/>
  <c r="I928" i="12"/>
  <c r="I929" i="12"/>
  <c r="I930" i="12"/>
  <c r="I931" i="12"/>
  <c r="I932" i="12"/>
  <c r="I933" i="12"/>
  <c r="I934" i="12"/>
  <c r="I935" i="12"/>
  <c r="I936" i="12"/>
  <c r="I937" i="12"/>
  <c r="I938" i="12"/>
  <c r="I939" i="12"/>
  <c r="I940" i="12"/>
  <c r="I941" i="12"/>
  <c r="I942" i="12"/>
  <c r="I943" i="12"/>
  <c r="I944" i="12"/>
  <c r="I945" i="12"/>
  <c r="I946" i="12"/>
  <c r="I947" i="12"/>
  <c r="I948" i="12"/>
  <c r="I949" i="12"/>
  <c r="I950" i="12"/>
  <c r="I951" i="12"/>
  <c r="I952" i="12"/>
  <c r="I953" i="12"/>
  <c r="I954" i="12"/>
  <c r="I955" i="12"/>
  <c r="I956" i="12"/>
  <c r="I957" i="12"/>
  <c r="I958" i="12"/>
  <c r="I959" i="12"/>
  <c r="I960" i="12"/>
  <c r="I961" i="12"/>
  <c r="I962" i="12"/>
  <c r="I963" i="12"/>
  <c r="I964" i="12"/>
  <c r="I965" i="12"/>
  <c r="I966" i="12"/>
  <c r="I967" i="12"/>
  <c r="I968" i="12"/>
  <c r="I969" i="12"/>
  <c r="I970" i="12"/>
  <c r="I971" i="12"/>
  <c r="I972" i="12"/>
  <c r="I973" i="12"/>
  <c r="I974" i="12"/>
  <c r="I975" i="12"/>
  <c r="I976" i="12"/>
  <c r="I977" i="12"/>
  <c r="I978" i="12"/>
  <c r="I979" i="12"/>
  <c r="I980" i="12"/>
  <c r="I981" i="12"/>
  <c r="I982" i="12"/>
  <c r="I983" i="12"/>
  <c r="I984" i="12"/>
  <c r="I985" i="12"/>
  <c r="I986" i="12"/>
  <c r="I987" i="12"/>
  <c r="I988" i="12"/>
  <c r="I989" i="12"/>
  <c r="I990" i="12"/>
  <c r="I991" i="12"/>
  <c r="I992" i="12"/>
  <c r="I993" i="12"/>
  <c r="I994" i="12"/>
  <c r="I995" i="12"/>
  <c r="I996" i="12"/>
  <c r="I997" i="12"/>
  <c r="I998" i="12"/>
  <c r="I999" i="12"/>
  <c r="I1000" i="12"/>
  <c r="I1001" i="12"/>
  <c r="I1002" i="12"/>
  <c r="I1003" i="12"/>
  <c r="I1004" i="12"/>
  <c r="I1005" i="12"/>
  <c r="I1006" i="12"/>
  <c r="I1007" i="12"/>
  <c r="I1008" i="12"/>
  <c r="I1009" i="12"/>
  <c r="I1010" i="12"/>
  <c r="I1011" i="12"/>
  <c r="I1012" i="12"/>
  <c r="I1013" i="12"/>
  <c r="I1014" i="12"/>
  <c r="I1015" i="12"/>
  <c r="I1016" i="12"/>
  <c r="I1017" i="12"/>
  <c r="I1018" i="12"/>
  <c r="I1019" i="12"/>
  <c r="I1020" i="12"/>
  <c r="I1021" i="12"/>
  <c r="I1022" i="12"/>
  <c r="I1023" i="12"/>
  <c r="I1024" i="12"/>
  <c r="I1025" i="12"/>
  <c r="I1026" i="12"/>
  <c r="I1027" i="12"/>
  <c r="I1028" i="12"/>
  <c r="I1029" i="12"/>
  <c r="I1030" i="12"/>
  <c r="I1031" i="12"/>
  <c r="I1032" i="12"/>
  <c r="I1033" i="12"/>
  <c r="I1034" i="12"/>
  <c r="I1035" i="12"/>
  <c r="I1036" i="12"/>
  <c r="I1037" i="12"/>
  <c r="I1038" i="12"/>
  <c r="I1039" i="12"/>
  <c r="I1040" i="12"/>
  <c r="I1041" i="12"/>
  <c r="I1042" i="12"/>
  <c r="I1043" i="12"/>
  <c r="I1044" i="12"/>
  <c r="I1045" i="12"/>
  <c r="I1046" i="12"/>
  <c r="I1047" i="12"/>
  <c r="I1048" i="12"/>
  <c r="I1049" i="12"/>
  <c r="I1050" i="12"/>
  <c r="I1051" i="12"/>
  <c r="I1052" i="12"/>
  <c r="I1053" i="12"/>
  <c r="I1054" i="12"/>
  <c r="I1055" i="12"/>
  <c r="I1056" i="12"/>
  <c r="I1057" i="12"/>
  <c r="I1058" i="12"/>
  <c r="I1059" i="12"/>
  <c r="I1060" i="12"/>
  <c r="I1061" i="12"/>
  <c r="I1062" i="12"/>
  <c r="I1063" i="12"/>
  <c r="I1064" i="12"/>
  <c r="I1065" i="12"/>
  <c r="I1066" i="12"/>
  <c r="I1067" i="12"/>
  <c r="I1068" i="12"/>
  <c r="I1069" i="12"/>
  <c r="I1070" i="12"/>
  <c r="I1071" i="12"/>
  <c r="I1072" i="12"/>
  <c r="I1073" i="12"/>
  <c r="I1074" i="12"/>
  <c r="I1075" i="12"/>
  <c r="I1076" i="12"/>
  <c r="I1077" i="12"/>
  <c r="I1078" i="12"/>
  <c r="I1079" i="12"/>
  <c r="I1080" i="12"/>
  <c r="I1081" i="12"/>
  <c r="I1082" i="12"/>
  <c r="I1083" i="12"/>
  <c r="I1084" i="12"/>
  <c r="I1085" i="12"/>
  <c r="I1086" i="12"/>
  <c r="I1087" i="12"/>
  <c r="I1088" i="12"/>
  <c r="I1089" i="12"/>
  <c r="I1090" i="12"/>
  <c r="I1091" i="12"/>
  <c r="I1092" i="12"/>
  <c r="I1093" i="12"/>
  <c r="I1094" i="12"/>
  <c r="I1095" i="12"/>
  <c r="I1096" i="12"/>
  <c r="I1097" i="12"/>
  <c r="I1098" i="12"/>
  <c r="I1099" i="12"/>
  <c r="I1100" i="12"/>
  <c r="I1101" i="12"/>
  <c r="I1102" i="12"/>
  <c r="I1103" i="12"/>
  <c r="I1104" i="12"/>
  <c r="I1105" i="12"/>
  <c r="I1106" i="12"/>
  <c r="I1107" i="12"/>
  <c r="I1108" i="12"/>
  <c r="I1109" i="12"/>
  <c r="I1110" i="12"/>
  <c r="I1111" i="12"/>
  <c r="I1112" i="12"/>
  <c r="I1113" i="12"/>
  <c r="I1114" i="12"/>
  <c r="I1115" i="12"/>
  <c r="I1116" i="12"/>
  <c r="I1117" i="12"/>
  <c r="I1118" i="12"/>
  <c r="I1119" i="12"/>
  <c r="I1120" i="12"/>
  <c r="I1121" i="12"/>
  <c r="I1122" i="12"/>
  <c r="I1123" i="12"/>
  <c r="I1124" i="12"/>
  <c r="I4" i="12"/>
  <c r="I5" i="12"/>
  <c r="I6" i="12"/>
  <c r="I7" i="12"/>
  <c r="I8" i="12"/>
  <c r="I9" i="12"/>
  <c r="I10" i="12"/>
  <c r="I11" i="12"/>
  <c r="I12" i="12"/>
  <c r="I13" i="12"/>
  <c r="I14" i="12"/>
  <c r="I15" i="12"/>
  <c r="I3" i="12"/>
  <c r="E14" i="19" l="1"/>
  <c r="P14" i="19"/>
  <c r="E15" i="19"/>
  <c r="P15" i="19"/>
  <c r="E13" i="19"/>
  <c r="P13" i="19"/>
  <c r="A2" i="16"/>
  <c r="C2" i="16" s="1"/>
  <c r="B124" i="16" s="1"/>
  <c r="B125" i="16" s="1"/>
  <c r="C125" i="16" s="1"/>
  <c r="B136" i="16"/>
  <c r="C136" i="16" s="1"/>
  <c r="B138" i="16"/>
  <c r="C138" i="16" s="1"/>
  <c r="C42" i="5" s="1"/>
  <c r="B137" i="16"/>
  <c r="C137" i="16" s="1"/>
  <c r="C44" i="5"/>
  <c r="T160" i="16"/>
  <c r="T159" i="16"/>
  <c r="T158" i="16"/>
  <c r="T157" i="16"/>
  <c r="T156" i="16"/>
  <c r="H6" i="7" l="1"/>
  <c r="H4" i="7"/>
  <c r="F6" i="7"/>
  <c r="H9" i="7"/>
  <c r="H5" i="7"/>
  <c r="H3" i="7"/>
  <c r="C17" i="5"/>
  <c r="C126" i="16"/>
  <c r="C129" i="16" s="1"/>
  <c r="C41" i="5"/>
  <c r="B135" i="16"/>
  <c r="C135" i="16" s="1"/>
  <c r="B142" i="16" s="1" a="1"/>
  <c r="B142" i="16" s="1"/>
  <c r="B146" i="16" s="1"/>
  <c r="C38" i="5"/>
  <c r="F3" i="7"/>
  <c r="F5" i="7"/>
  <c r="F4" i="7"/>
  <c r="U158" i="16"/>
  <c r="U159" i="16"/>
  <c r="U160" i="16"/>
  <c r="U156" i="16"/>
  <c r="U157" i="16"/>
  <c r="C40" i="5"/>
  <c r="K7" i="10"/>
  <c r="K6" i="10"/>
  <c r="K3" i="10"/>
  <c r="K4" i="10"/>
  <c r="K5" i="10"/>
  <c r="B126" i="16" l="1"/>
  <c r="C127" i="16"/>
  <c r="C45" i="5"/>
  <c r="A58" i="5" s="1"/>
  <c r="B145" i="16"/>
  <c r="A52" i="5" s="1"/>
  <c r="C16" i="5"/>
  <c r="C39" i="5"/>
  <c r="A189" i="5" l="1"/>
  <c r="A131" i="5"/>
  <c r="A72" i="5"/>
  <c r="A140" i="5"/>
  <c r="A190" i="5"/>
  <c r="A188" i="5"/>
  <c r="A130" i="5"/>
  <c r="A71" i="5"/>
  <c r="A81" i="5"/>
  <c r="A200" i="5"/>
  <c r="A142" i="5"/>
  <c r="A83" i="5"/>
  <c r="A198" i="5"/>
  <c r="A196" i="5"/>
  <c r="A138" i="5"/>
  <c r="A79" i="5"/>
  <c r="A192" i="5"/>
  <c r="A75" i="5"/>
  <c r="A73" i="5"/>
  <c r="A194" i="5"/>
  <c r="A136" i="5"/>
  <c r="A77" i="5"/>
  <c r="A134" i="5"/>
  <c r="A132" i="5"/>
  <c r="B199" i="5"/>
  <c r="A199" i="5"/>
  <c r="B141" i="5"/>
  <c r="B82" i="5"/>
  <c r="A141" i="5"/>
  <c r="A65" i="5"/>
  <c r="A241" i="5"/>
  <c r="A55" i="5"/>
  <c r="A243" i="5"/>
  <c r="A82" i="5"/>
  <c r="A270" i="5"/>
  <c r="A246" i="5"/>
  <c r="A66" i="5"/>
  <c r="A248" i="5"/>
  <c r="A250" i="5"/>
  <c r="B129" i="16"/>
  <c r="B127" i="16"/>
  <c r="K156" i="16" s="1"/>
  <c r="B293" i="5"/>
  <c r="A353" i="5"/>
  <c r="A315" i="5"/>
  <c r="A334" i="5"/>
  <c r="A327" i="5"/>
  <c r="A365" i="5"/>
  <c r="A293" i="5"/>
  <c r="A225" i="5"/>
  <c r="C46" i="5"/>
  <c r="A62" i="5"/>
  <c r="A61" i="5"/>
  <c r="A122" i="5"/>
  <c r="A201" i="5"/>
  <c r="A143" i="5"/>
  <c r="A84" i="5"/>
  <c r="C237" i="5"/>
  <c r="A237" i="5"/>
  <c r="A185" i="5"/>
  <c r="A203" i="5"/>
  <c r="A195" i="5"/>
  <c r="B187" i="5"/>
  <c r="A187" i="5"/>
  <c r="A239" i="5"/>
  <c r="A197" i="5"/>
  <c r="A193" i="5"/>
  <c r="A191" i="5"/>
  <c r="A167" i="5"/>
  <c r="A135" i="5"/>
  <c r="A145" i="5"/>
  <c r="A139" i="5"/>
  <c r="A129" i="5"/>
  <c r="A133" i="5"/>
  <c r="A183" i="5"/>
  <c r="A181" i="5"/>
  <c r="A179" i="5"/>
  <c r="C179" i="5"/>
  <c r="A137" i="5"/>
  <c r="B129" i="5"/>
  <c r="C142" i="16"/>
  <c r="F9" i="7"/>
  <c r="A78" i="5"/>
  <c r="B60" i="5"/>
  <c r="A60" i="5"/>
  <c r="A127" i="5"/>
  <c r="C120" i="5"/>
  <c r="A74" i="5"/>
  <c r="A80" i="5"/>
  <c r="A108" i="5"/>
  <c r="A120" i="5"/>
  <c r="A86" i="5"/>
  <c r="B70" i="5"/>
  <c r="A63" i="5"/>
  <c r="A68" i="5"/>
  <c r="A124" i="5"/>
  <c r="A76" i="5"/>
  <c r="A70" i="5"/>
  <c r="X3" i="7" l="1"/>
  <c r="T3" i="7" s="1"/>
  <c r="D6" i="7"/>
  <c r="X9" i="7"/>
  <c r="X6" i="7"/>
  <c r="P159" i="16" s="1"/>
  <c r="X5" i="7"/>
  <c r="X4" i="7"/>
  <c r="T4" i="7" s="1"/>
  <c r="Z5" i="7"/>
  <c r="P158" i="16" s="1"/>
  <c r="Z4" i="7"/>
  <c r="P157" i="16" s="1"/>
  <c r="Z3" i="7"/>
  <c r="P156" i="16" s="1"/>
  <c r="Z9" i="7"/>
  <c r="P160" i="16" s="1"/>
  <c r="Z6" i="7"/>
  <c r="D5" i="7"/>
  <c r="D4" i="7"/>
  <c r="D3" i="7"/>
  <c r="D9" i="7"/>
  <c r="O34" i="19"/>
  <c r="P20" i="20"/>
  <c r="P19" i="20"/>
  <c r="O36" i="19"/>
  <c r="P25" i="20"/>
  <c r="C361" i="5" s="1"/>
  <c r="O35" i="19"/>
  <c r="P27" i="19"/>
  <c r="C339" i="5" s="1"/>
  <c r="P22" i="20"/>
  <c r="C358" i="5" s="1"/>
  <c r="P23" i="20"/>
  <c r="C359" i="5" s="1"/>
  <c r="P26" i="19"/>
  <c r="C338" i="5" s="1"/>
  <c r="O33" i="19"/>
  <c r="O37" i="19"/>
  <c r="P21" i="20"/>
  <c r="C357" i="5" s="1"/>
  <c r="P29" i="19"/>
  <c r="C341" i="5" s="1"/>
  <c r="O32" i="19"/>
  <c r="O30" i="19"/>
  <c r="O31" i="19"/>
  <c r="P24" i="20"/>
  <c r="C360" i="5" s="1"/>
  <c r="P25" i="19"/>
  <c r="O11" i="19"/>
  <c r="O12" i="19"/>
  <c r="O15" i="19"/>
  <c r="P10" i="20"/>
  <c r="C323" i="5" s="1"/>
  <c r="P5" i="19"/>
  <c r="P7" i="19"/>
  <c r="C303" i="5" s="1"/>
  <c r="P9" i="19"/>
  <c r="C305" i="5" s="1"/>
  <c r="P4" i="20"/>
  <c r="P8" i="20"/>
  <c r="C321" i="5" s="1"/>
  <c r="O13" i="19"/>
  <c r="O16" i="19"/>
  <c r="P6" i="20"/>
  <c r="C319" i="5" s="1"/>
  <c r="P9" i="20"/>
  <c r="C322" i="5" s="1"/>
  <c r="P7" i="20"/>
  <c r="C320" i="5" s="1"/>
  <c r="P5" i="20"/>
  <c r="C318" i="5" s="1"/>
  <c r="P6" i="19"/>
  <c r="C302" i="5" s="1"/>
  <c r="O10" i="19"/>
  <c r="O14" i="19"/>
  <c r="K160" i="16"/>
  <c r="K163" i="16" s="1"/>
  <c r="K157" i="16"/>
  <c r="K158" i="16"/>
  <c r="K159" i="16"/>
  <c r="E5" i="10"/>
  <c r="H5" i="10"/>
  <c r="H4" i="10"/>
  <c r="E7" i="10"/>
  <c r="C19" i="5"/>
  <c r="E4" i="10"/>
  <c r="H3" i="10"/>
  <c r="U3" i="7" s="1"/>
  <c r="H7" i="10"/>
  <c r="E3" i="10"/>
  <c r="H6" i="10"/>
  <c r="E6" i="10"/>
  <c r="R158" i="16"/>
  <c r="R156" i="16"/>
  <c r="R160" i="16"/>
  <c r="R157" i="16"/>
  <c r="V6" i="7"/>
  <c r="R159" i="16"/>
  <c r="C18" i="5"/>
  <c r="P38" i="19" l="1"/>
  <c r="C350" i="5" s="1"/>
  <c r="P17" i="19"/>
  <c r="L3" i="7"/>
  <c r="L9" i="7"/>
  <c r="L6" i="7"/>
  <c r="L5" i="7"/>
  <c r="L4" i="7"/>
  <c r="N15" i="19"/>
  <c r="M15" i="19" s="1"/>
  <c r="M83" i="19"/>
  <c r="N83" i="19" s="1"/>
  <c r="M44" i="19"/>
  <c r="M9" i="19"/>
  <c r="N9" i="19" s="1"/>
  <c r="M6" i="19"/>
  <c r="N6" i="19" s="1"/>
  <c r="M5" i="19"/>
  <c r="N5" i="19" s="1"/>
  <c r="N16" i="19"/>
  <c r="M16" i="19" s="1"/>
  <c r="M73" i="19"/>
  <c r="M65" i="19"/>
  <c r="N65" i="19" s="1"/>
  <c r="M29" i="19"/>
  <c r="N29" i="19" s="1"/>
  <c r="M49" i="19"/>
  <c r="N11" i="19"/>
  <c r="M11" i="19" s="1"/>
  <c r="M70" i="19"/>
  <c r="M48" i="19"/>
  <c r="N48" i="19" s="1"/>
  <c r="N12" i="19"/>
  <c r="M12" i="19" s="1"/>
  <c r="M69" i="19"/>
  <c r="N69" i="19" s="1"/>
  <c r="M25" i="19"/>
  <c r="M7" i="19"/>
  <c r="N7" i="19" s="1"/>
  <c r="N14" i="19"/>
  <c r="M14" i="19" s="1"/>
  <c r="M84" i="19"/>
  <c r="N84" i="19" s="1"/>
  <c r="M45" i="19"/>
  <c r="N45" i="19" s="1"/>
  <c r="N10" i="19"/>
  <c r="M10" i="19" s="1"/>
  <c r="M72" i="19"/>
  <c r="N72" i="19" s="1"/>
  <c r="M64" i="19"/>
  <c r="N64" i="19" s="1"/>
  <c r="M27" i="19"/>
  <c r="N27" i="19" s="1"/>
  <c r="M88" i="19"/>
  <c r="M71" i="19"/>
  <c r="N71" i="19" s="1"/>
  <c r="M87" i="19"/>
  <c r="N87" i="19" s="1"/>
  <c r="M26" i="19"/>
  <c r="N26" i="19" s="1"/>
  <c r="M85" i="19"/>
  <c r="N85" i="19" s="1"/>
  <c r="M46" i="19"/>
  <c r="N46" i="19" s="1"/>
  <c r="N13" i="19"/>
  <c r="M13" i="19" s="1"/>
  <c r="M68" i="19"/>
  <c r="N68" i="19" s="1"/>
  <c r="M66" i="19"/>
  <c r="N66" i="19" s="1"/>
  <c r="N73" i="19"/>
  <c r="N70" i="19"/>
  <c r="N56" i="20"/>
  <c r="N51" i="20"/>
  <c r="N71" i="20"/>
  <c r="N52" i="20"/>
  <c r="N53" i="20"/>
  <c r="N67" i="20"/>
  <c r="N70" i="20"/>
  <c r="N68" i="20"/>
  <c r="N65" i="20"/>
  <c r="N11" i="20"/>
  <c r="N10" i="20"/>
  <c r="N9" i="20"/>
  <c r="N6" i="20"/>
  <c r="N5" i="20"/>
  <c r="N4" i="20"/>
  <c r="N7" i="20"/>
  <c r="N88" i="19"/>
  <c r="N72" i="20"/>
  <c r="N50" i="19"/>
  <c r="M50" i="19" s="1"/>
  <c r="N56" i="19"/>
  <c r="M56" i="19" s="1"/>
  <c r="N51" i="19"/>
  <c r="M51" i="19" s="1"/>
  <c r="N57" i="19"/>
  <c r="M57" i="19" s="1"/>
  <c r="N55" i="19"/>
  <c r="M55" i="19" s="1"/>
  <c r="N54" i="19"/>
  <c r="M54" i="19" s="1"/>
  <c r="N53" i="19"/>
  <c r="M53" i="19" s="1"/>
  <c r="N52" i="19"/>
  <c r="M52" i="19" s="1"/>
  <c r="N49" i="19"/>
  <c r="N40" i="20"/>
  <c r="N38" i="20"/>
  <c r="N34" i="20"/>
  <c r="N35" i="20"/>
  <c r="N37" i="20"/>
  <c r="N39" i="20"/>
  <c r="N36" i="20"/>
  <c r="N44" i="19"/>
  <c r="N37" i="19"/>
  <c r="N35" i="19"/>
  <c r="N34" i="19"/>
  <c r="N33" i="19"/>
  <c r="N32" i="19"/>
  <c r="N36" i="19"/>
  <c r="N31" i="19"/>
  <c r="N30" i="19"/>
  <c r="N26" i="20"/>
  <c r="N19" i="20"/>
  <c r="N21" i="20"/>
  <c r="N23" i="20"/>
  <c r="M50" i="20"/>
  <c r="N24" i="20"/>
  <c r="C317" i="5"/>
  <c r="P12" i="20"/>
  <c r="C325" i="5" s="1"/>
  <c r="C355" i="5"/>
  <c r="P27" i="20"/>
  <c r="C363" i="5" s="1"/>
  <c r="I16" i="23"/>
  <c r="N54" i="20"/>
  <c r="N55" i="20"/>
  <c r="N8" i="20"/>
  <c r="I16" i="26"/>
  <c r="N69" i="20"/>
  <c r="N25" i="20"/>
  <c r="N20" i="20"/>
  <c r="C337" i="5"/>
  <c r="C300" i="5"/>
  <c r="C301" i="5"/>
  <c r="C356" i="5"/>
  <c r="U6" i="7"/>
  <c r="U9" i="7"/>
  <c r="U4" i="7"/>
  <c r="U5" i="7"/>
  <c r="E4" i="12"/>
  <c r="E5" i="12"/>
  <c r="E6" i="12"/>
  <c r="E7" i="12"/>
  <c r="E8" i="12"/>
  <c r="E9" i="12"/>
  <c r="E10" i="12"/>
  <c r="E11" i="12"/>
  <c r="E12" i="12"/>
  <c r="E13" i="12"/>
  <c r="E14" i="12"/>
  <c r="E15" i="12"/>
  <c r="E16" i="12"/>
  <c r="E17" i="12"/>
  <c r="E18" i="12"/>
  <c r="E19" i="12"/>
  <c r="E20" i="12"/>
  <c r="E21" i="12"/>
  <c r="E22" i="12"/>
  <c r="E23" i="12"/>
  <c r="E24" i="12"/>
  <c r="E25" i="12"/>
  <c r="E26" i="12"/>
  <c r="E27" i="12"/>
  <c r="E28" i="12"/>
  <c r="E29" i="12"/>
  <c r="E30" i="12"/>
  <c r="E31" i="12"/>
  <c r="E32" i="12"/>
  <c r="E33" i="12"/>
  <c r="E34" i="12"/>
  <c r="E35" i="12"/>
  <c r="E36" i="12"/>
  <c r="E37" i="12"/>
  <c r="E38" i="12"/>
  <c r="E39" i="12"/>
  <c r="E40" i="12"/>
  <c r="E41" i="12"/>
  <c r="E42" i="12"/>
  <c r="E43" i="12"/>
  <c r="E44" i="12"/>
  <c r="E45" i="12"/>
  <c r="E46" i="12"/>
  <c r="E47" i="12"/>
  <c r="E48" i="12"/>
  <c r="E49" i="12"/>
  <c r="E50" i="12"/>
  <c r="E51" i="12"/>
  <c r="E52" i="12"/>
  <c r="E53" i="12"/>
  <c r="E54" i="12"/>
  <c r="E55" i="12"/>
  <c r="E56" i="12"/>
  <c r="E57" i="12"/>
  <c r="E58" i="12"/>
  <c r="E59" i="12"/>
  <c r="E60" i="12"/>
  <c r="E61" i="12"/>
  <c r="E62" i="12"/>
  <c r="E63" i="12"/>
  <c r="E64" i="12"/>
  <c r="E65" i="12"/>
  <c r="E66" i="12"/>
  <c r="E67" i="12"/>
  <c r="E68" i="12"/>
  <c r="E69" i="12"/>
  <c r="E70" i="12"/>
  <c r="E71" i="12"/>
  <c r="E72" i="12"/>
  <c r="E73" i="12"/>
  <c r="E74" i="12"/>
  <c r="E75" i="12"/>
  <c r="E76" i="12"/>
  <c r="E77" i="12"/>
  <c r="E78" i="12"/>
  <c r="E79" i="12"/>
  <c r="E80" i="12"/>
  <c r="E81" i="12"/>
  <c r="E82" i="12"/>
  <c r="E83" i="12"/>
  <c r="E84" i="12"/>
  <c r="E85" i="12"/>
  <c r="E86" i="12"/>
  <c r="E87" i="12"/>
  <c r="E88" i="12"/>
  <c r="E89" i="12"/>
  <c r="E90" i="12"/>
  <c r="E91" i="12"/>
  <c r="E92" i="12"/>
  <c r="E93" i="12"/>
  <c r="E94" i="12"/>
  <c r="E95" i="12"/>
  <c r="E96" i="12"/>
  <c r="E97" i="12"/>
  <c r="E98" i="12"/>
  <c r="E99" i="12"/>
  <c r="E100" i="12"/>
  <c r="E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26" i="12"/>
  <c r="E127" i="12"/>
  <c r="E128" i="12"/>
  <c r="E129" i="12"/>
  <c r="E130" i="12"/>
  <c r="E131" i="12"/>
  <c r="E132" i="12"/>
  <c r="E133" i="12"/>
  <c r="E134" i="12"/>
  <c r="E135" i="12"/>
  <c r="E136" i="12"/>
  <c r="E137" i="12"/>
  <c r="E138" i="12"/>
  <c r="E139" i="12"/>
  <c r="E140" i="12"/>
  <c r="E141" i="12"/>
  <c r="E142" i="12"/>
  <c r="E143" i="12"/>
  <c r="E144" i="12"/>
  <c r="E145" i="12"/>
  <c r="E146" i="12"/>
  <c r="E147" i="12"/>
  <c r="E148" i="12"/>
  <c r="E149" i="12"/>
  <c r="E150" i="12"/>
  <c r="E151" i="12"/>
  <c r="E152" i="12"/>
  <c r="E153" i="12"/>
  <c r="E154" i="12"/>
  <c r="E155" i="12"/>
  <c r="E156" i="12"/>
  <c r="E157" i="12"/>
  <c r="E158" i="12"/>
  <c r="E159" i="12"/>
  <c r="E160" i="12"/>
  <c r="E161" i="12"/>
  <c r="E162" i="12"/>
  <c r="E163" i="12"/>
  <c r="E164" i="12"/>
  <c r="E165" i="12"/>
  <c r="E166" i="12"/>
  <c r="E167" i="12"/>
  <c r="E168" i="12"/>
  <c r="E169" i="12"/>
  <c r="E170" i="12"/>
  <c r="E171" i="12"/>
  <c r="E172" i="12"/>
  <c r="E173" i="12"/>
  <c r="E174" i="12"/>
  <c r="E175" i="12"/>
  <c r="E176" i="12"/>
  <c r="E177" i="12"/>
  <c r="E178" i="12"/>
  <c r="E179" i="12"/>
  <c r="E180" i="12"/>
  <c r="E181" i="12"/>
  <c r="E182" i="12"/>
  <c r="E183" i="12"/>
  <c r="E184" i="12"/>
  <c r="E185" i="12"/>
  <c r="E186" i="12"/>
  <c r="E187" i="12"/>
  <c r="E188" i="12"/>
  <c r="E189" i="12"/>
  <c r="E190" i="12"/>
  <c r="E191" i="12"/>
  <c r="E192" i="12"/>
  <c r="E193" i="12"/>
  <c r="E194" i="12"/>
  <c r="E195" i="12"/>
  <c r="E196" i="12"/>
  <c r="E197" i="12"/>
  <c r="E198" i="12"/>
  <c r="E199" i="12"/>
  <c r="E200" i="12"/>
  <c r="E201" i="12"/>
  <c r="E202" i="12"/>
  <c r="E203" i="12"/>
  <c r="E204" i="12"/>
  <c r="E205" i="12"/>
  <c r="E206" i="12"/>
  <c r="E207" i="12"/>
  <c r="E208" i="12"/>
  <c r="E209" i="12"/>
  <c r="E210" i="12"/>
  <c r="E211" i="12"/>
  <c r="E212" i="12"/>
  <c r="E213" i="12"/>
  <c r="E214" i="12"/>
  <c r="E215" i="12"/>
  <c r="E216" i="12"/>
  <c r="E217" i="12"/>
  <c r="E218" i="12"/>
  <c r="E219" i="12"/>
  <c r="E220" i="12"/>
  <c r="E221" i="12"/>
  <c r="E222" i="12"/>
  <c r="E223" i="12"/>
  <c r="E224" i="12"/>
  <c r="E225" i="12"/>
  <c r="E226" i="12"/>
  <c r="E227" i="12"/>
  <c r="E228" i="12"/>
  <c r="E229" i="12"/>
  <c r="E230" i="12"/>
  <c r="E231" i="12"/>
  <c r="E232" i="12"/>
  <c r="E233" i="12"/>
  <c r="E234" i="12"/>
  <c r="E235" i="12"/>
  <c r="E236" i="12"/>
  <c r="E237" i="12"/>
  <c r="E238" i="12"/>
  <c r="E239" i="12"/>
  <c r="E240" i="12"/>
  <c r="E241" i="12"/>
  <c r="E242" i="12"/>
  <c r="E243" i="12"/>
  <c r="E244" i="12"/>
  <c r="E245" i="12"/>
  <c r="E246" i="12"/>
  <c r="E247" i="12"/>
  <c r="E248" i="12"/>
  <c r="E249" i="12"/>
  <c r="E250" i="12"/>
  <c r="E251" i="12"/>
  <c r="E252" i="12"/>
  <c r="E253" i="12"/>
  <c r="E254" i="12"/>
  <c r="E255" i="12"/>
  <c r="E256" i="12"/>
  <c r="E257" i="12"/>
  <c r="E258" i="12"/>
  <c r="E259" i="12"/>
  <c r="E260" i="12"/>
  <c r="E261" i="12"/>
  <c r="E262" i="12"/>
  <c r="E263" i="12"/>
  <c r="E264" i="12"/>
  <c r="E265" i="12"/>
  <c r="E266" i="12"/>
  <c r="E267" i="12"/>
  <c r="E268" i="12"/>
  <c r="E269" i="12"/>
  <c r="E270" i="12"/>
  <c r="E271" i="12"/>
  <c r="E272" i="12"/>
  <c r="E273" i="12"/>
  <c r="E274" i="12"/>
  <c r="E275" i="12"/>
  <c r="E276" i="12"/>
  <c r="E277" i="12"/>
  <c r="E278" i="12"/>
  <c r="E279" i="12"/>
  <c r="E280" i="12"/>
  <c r="E281" i="12"/>
  <c r="E282" i="12"/>
  <c r="E283" i="12"/>
  <c r="E284" i="12"/>
  <c r="E285" i="12"/>
  <c r="E286" i="12"/>
  <c r="E287" i="12"/>
  <c r="E288" i="12"/>
  <c r="E289" i="12"/>
  <c r="E290" i="12"/>
  <c r="E291" i="12"/>
  <c r="E292" i="12"/>
  <c r="E293" i="12"/>
  <c r="E294" i="12"/>
  <c r="E295" i="12"/>
  <c r="E296" i="12"/>
  <c r="E297" i="12"/>
  <c r="E298" i="12"/>
  <c r="E299" i="12"/>
  <c r="E300" i="12"/>
  <c r="E301" i="12"/>
  <c r="E302" i="12"/>
  <c r="E303" i="12"/>
  <c r="E304" i="12"/>
  <c r="E305" i="12"/>
  <c r="E306" i="12"/>
  <c r="E307" i="12"/>
  <c r="E308" i="12"/>
  <c r="E309" i="12"/>
  <c r="E310" i="12"/>
  <c r="E311" i="12"/>
  <c r="E312" i="12"/>
  <c r="E313" i="12"/>
  <c r="E314" i="12"/>
  <c r="E315" i="12"/>
  <c r="E316" i="12"/>
  <c r="E317" i="12"/>
  <c r="E318" i="12"/>
  <c r="E319" i="12"/>
  <c r="E320" i="12"/>
  <c r="E321" i="12"/>
  <c r="E322" i="12"/>
  <c r="E323" i="12"/>
  <c r="E324" i="12"/>
  <c r="E325" i="12"/>
  <c r="E326" i="12"/>
  <c r="E327" i="12"/>
  <c r="E328" i="12"/>
  <c r="E329" i="12"/>
  <c r="E330" i="12"/>
  <c r="E331" i="12"/>
  <c r="E332" i="12"/>
  <c r="E333" i="12"/>
  <c r="E334" i="12"/>
  <c r="E335" i="12"/>
  <c r="E336" i="12"/>
  <c r="E337" i="12"/>
  <c r="E338" i="12"/>
  <c r="E339" i="12"/>
  <c r="E340" i="12"/>
  <c r="E341" i="12"/>
  <c r="E342" i="12"/>
  <c r="E343" i="12"/>
  <c r="E344" i="12"/>
  <c r="E345" i="12"/>
  <c r="E346" i="12"/>
  <c r="E347" i="12"/>
  <c r="E348" i="12"/>
  <c r="E349" i="12"/>
  <c r="E350" i="12"/>
  <c r="E351" i="12"/>
  <c r="E352" i="12"/>
  <c r="E353" i="12"/>
  <c r="E354" i="12"/>
  <c r="E355" i="12"/>
  <c r="E356" i="12"/>
  <c r="E357" i="12"/>
  <c r="E358" i="12"/>
  <c r="E359" i="12"/>
  <c r="E360" i="12"/>
  <c r="E361" i="12"/>
  <c r="E362" i="12"/>
  <c r="E363" i="12"/>
  <c r="E364" i="12"/>
  <c r="E365" i="12"/>
  <c r="E366" i="12"/>
  <c r="E367" i="12"/>
  <c r="E368" i="12"/>
  <c r="E369" i="12"/>
  <c r="E370" i="12"/>
  <c r="E371" i="12"/>
  <c r="E372" i="12"/>
  <c r="E373" i="12"/>
  <c r="E374" i="12"/>
  <c r="E375" i="12"/>
  <c r="E376" i="12"/>
  <c r="E377" i="12"/>
  <c r="E378" i="12"/>
  <c r="E379" i="12"/>
  <c r="E380" i="12"/>
  <c r="E381" i="12"/>
  <c r="E382" i="12"/>
  <c r="E383" i="12"/>
  <c r="E384" i="12"/>
  <c r="E385" i="12"/>
  <c r="E386" i="12"/>
  <c r="E387" i="12"/>
  <c r="E388" i="12"/>
  <c r="E389" i="12"/>
  <c r="E390" i="12"/>
  <c r="E391" i="12"/>
  <c r="E392" i="12"/>
  <c r="E393" i="12"/>
  <c r="E394" i="12"/>
  <c r="E395" i="12"/>
  <c r="E396" i="12"/>
  <c r="E397" i="12"/>
  <c r="E398" i="12"/>
  <c r="E399" i="12"/>
  <c r="E400" i="12"/>
  <c r="E401" i="12"/>
  <c r="E402" i="12"/>
  <c r="E403" i="12"/>
  <c r="E404" i="12"/>
  <c r="E405" i="12"/>
  <c r="E406" i="12"/>
  <c r="E407" i="12"/>
  <c r="E408" i="12"/>
  <c r="E409" i="12"/>
  <c r="E410" i="12"/>
  <c r="E411" i="12"/>
  <c r="E412" i="12"/>
  <c r="E413" i="12"/>
  <c r="E414" i="12"/>
  <c r="E415" i="12"/>
  <c r="E416" i="12"/>
  <c r="E417" i="12"/>
  <c r="E418" i="12"/>
  <c r="E419" i="12"/>
  <c r="E420" i="12"/>
  <c r="E421" i="12"/>
  <c r="E422" i="12"/>
  <c r="E423" i="12"/>
  <c r="E424" i="12"/>
  <c r="E425" i="12"/>
  <c r="E426" i="12"/>
  <c r="E427" i="12"/>
  <c r="E428" i="12"/>
  <c r="E429" i="12"/>
  <c r="E430" i="12"/>
  <c r="E431" i="12"/>
  <c r="E432" i="12"/>
  <c r="E433" i="12"/>
  <c r="E434" i="12"/>
  <c r="E435" i="12"/>
  <c r="E436" i="12"/>
  <c r="E437" i="12"/>
  <c r="E438" i="12"/>
  <c r="E439" i="12"/>
  <c r="E440" i="12"/>
  <c r="E441" i="12"/>
  <c r="E442" i="12"/>
  <c r="E443" i="12"/>
  <c r="E444" i="12"/>
  <c r="E445" i="12"/>
  <c r="E446" i="12"/>
  <c r="E447" i="12"/>
  <c r="E448" i="12"/>
  <c r="E449" i="12"/>
  <c r="E450" i="12"/>
  <c r="E451" i="12"/>
  <c r="E452" i="12"/>
  <c r="E453" i="12"/>
  <c r="E454" i="12"/>
  <c r="E455" i="12"/>
  <c r="E456" i="12"/>
  <c r="E457" i="12"/>
  <c r="E458" i="12"/>
  <c r="E459" i="12"/>
  <c r="E460" i="12"/>
  <c r="E461" i="12"/>
  <c r="E462" i="12"/>
  <c r="E463" i="12"/>
  <c r="E464" i="12"/>
  <c r="E465" i="12"/>
  <c r="E466" i="12"/>
  <c r="E467" i="12"/>
  <c r="E468" i="12"/>
  <c r="E469" i="12"/>
  <c r="E470" i="12"/>
  <c r="E471" i="12"/>
  <c r="E472" i="12"/>
  <c r="E473" i="12"/>
  <c r="E474" i="12"/>
  <c r="E475" i="12"/>
  <c r="E476" i="12"/>
  <c r="E477" i="12"/>
  <c r="E478" i="12"/>
  <c r="E479" i="12"/>
  <c r="E480" i="12"/>
  <c r="E481" i="12"/>
  <c r="E482" i="12"/>
  <c r="E483" i="12"/>
  <c r="E484" i="12"/>
  <c r="E485" i="12"/>
  <c r="E486" i="12"/>
  <c r="E487" i="12"/>
  <c r="E488" i="12"/>
  <c r="E489" i="12"/>
  <c r="E490" i="12"/>
  <c r="E491" i="12"/>
  <c r="E492" i="12"/>
  <c r="E493" i="12"/>
  <c r="E494" i="12"/>
  <c r="E495" i="12"/>
  <c r="E496" i="12"/>
  <c r="E497" i="12"/>
  <c r="E498" i="12"/>
  <c r="E499" i="12"/>
  <c r="E500" i="12"/>
  <c r="E501" i="12"/>
  <c r="E502" i="12"/>
  <c r="E503" i="12"/>
  <c r="E504" i="12"/>
  <c r="E505" i="12"/>
  <c r="E506" i="12"/>
  <c r="E507" i="12"/>
  <c r="E508" i="12"/>
  <c r="E509" i="12"/>
  <c r="E510" i="12"/>
  <c r="E511" i="12"/>
  <c r="E512" i="12"/>
  <c r="E513" i="12"/>
  <c r="E514" i="12"/>
  <c r="E515" i="12"/>
  <c r="E516" i="12"/>
  <c r="E517" i="12"/>
  <c r="E518" i="12"/>
  <c r="E519" i="12"/>
  <c r="E520" i="12"/>
  <c r="E521" i="12"/>
  <c r="E522" i="12"/>
  <c r="E523" i="12"/>
  <c r="E524" i="12"/>
  <c r="E525" i="12"/>
  <c r="E526" i="12"/>
  <c r="E527" i="12"/>
  <c r="E528" i="12"/>
  <c r="E529" i="12"/>
  <c r="E530" i="12"/>
  <c r="E531" i="12"/>
  <c r="E532" i="12"/>
  <c r="E533" i="12"/>
  <c r="E534" i="12"/>
  <c r="E535" i="12"/>
  <c r="E536" i="12"/>
  <c r="E537" i="12"/>
  <c r="E538" i="12"/>
  <c r="E539" i="12"/>
  <c r="E540" i="12"/>
  <c r="E541" i="12"/>
  <c r="E542" i="12"/>
  <c r="E543" i="12"/>
  <c r="E544" i="12"/>
  <c r="E545" i="12"/>
  <c r="E546" i="12"/>
  <c r="E547" i="12"/>
  <c r="E548" i="12"/>
  <c r="E549" i="12"/>
  <c r="E550" i="12"/>
  <c r="E551" i="12"/>
  <c r="E552" i="12"/>
  <c r="E553" i="12"/>
  <c r="E554" i="12"/>
  <c r="E555" i="12"/>
  <c r="E556" i="12"/>
  <c r="E557" i="12"/>
  <c r="E558" i="12"/>
  <c r="E559" i="12"/>
  <c r="E560" i="12"/>
  <c r="E561" i="12"/>
  <c r="E562" i="12"/>
  <c r="E563" i="12"/>
  <c r="E564" i="12"/>
  <c r="E565" i="12"/>
  <c r="E566" i="12"/>
  <c r="E567" i="12"/>
  <c r="E568" i="12"/>
  <c r="E569" i="12"/>
  <c r="E570" i="12"/>
  <c r="E571" i="12"/>
  <c r="E572" i="12"/>
  <c r="E573" i="12"/>
  <c r="E574" i="12"/>
  <c r="E575" i="12"/>
  <c r="E576" i="12"/>
  <c r="E577" i="12"/>
  <c r="E578" i="12"/>
  <c r="E579" i="12"/>
  <c r="E580" i="12"/>
  <c r="E581" i="12"/>
  <c r="E582" i="12"/>
  <c r="E583" i="12"/>
  <c r="E584" i="12"/>
  <c r="E585" i="12"/>
  <c r="E586" i="12"/>
  <c r="E587" i="12"/>
  <c r="E588" i="12"/>
  <c r="E589" i="12"/>
  <c r="E590" i="12"/>
  <c r="E591" i="12"/>
  <c r="E592" i="12"/>
  <c r="E593" i="12"/>
  <c r="E594" i="12"/>
  <c r="E595" i="12"/>
  <c r="E596" i="12"/>
  <c r="E597" i="12"/>
  <c r="E598" i="12"/>
  <c r="E599" i="12"/>
  <c r="E600" i="12"/>
  <c r="E601" i="12"/>
  <c r="E602" i="12"/>
  <c r="E603" i="12"/>
  <c r="E604" i="12"/>
  <c r="E605" i="12"/>
  <c r="E606" i="12"/>
  <c r="E607" i="12"/>
  <c r="E608" i="12"/>
  <c r="E609" i="12"/>
  <c r="E610" i="12"/>
  <c r="E611" i="12"/>
  <c r="E612" i="12"/>
  <c r="E613" i="12"/>
  <c r="E614" i="12"/>
  <c r="E615" i="12"/>
  <c r="E616" i="12"/>
  <c r="E617" i="12"/>
  <c r="E618" i="12"/>
  <c r="E619" i="12"/>
  <c r="E620" i="12"/>
  <c r="E621" i="12"/>
  <c r="E622" i="12"/>
  <c r="E623" i="12"/>
  <c r="E624" i="12"/>
  <c r="E625" i="12"/>
  <c r="E626" i="12"/>
  <c r="E627" i="12"/>
  <c r="E628" i="12"/>
  <c r="E629" i="12"/>
  <c r="E630" i="12"/>
  <c r="E631" i="12"/>
  <c r="E632" i="12"/>
  <c r="E633" i="12"/>
  <c r="E634" i="12"/>
  <c r="E635" i="12"/>
  <c r="E636" i="12"/>
  <c r="E637" i="12"/>
  <c r="E638" i="12"/>
  <c r="E639" i="12"/>
  <c r="E640" i="12"/>
  <c r="E641" i="12"/>
  <c r="E642" i="12"/>
  <c r="E643" i="12"/>
  <c r="E644" i="12"/>
  <c r="E645" i="12"/>
  <c r="E646" i="12"/>
  <c r="E647" i="12"/>
  <c r="E648" i="12"/>
  <c r="E649" i="12"/>
  <c r="E650" i="12"/>
  <c r="E651" i="12"/>
  <c r="E652" i="12"/>
  <c r="E653" i="12"/>
  <c r="E654" i="12"/>
  <c r="E655" i="12"/>
  <c r="E656" i="12"/>
  <c r="E657" i="12"/>
  <c r="E658" i="12"/>
  <c r="E659" i="12"/>
  <c r="E660" i="12"/>
  <c r="E661" i="12"/>
  <c r="E662" i="12"/>
  <c r="E663" i="12"/>
  <c r="E664" i="12"/>
  <c r="E665" i="12"/>
  <c r="E666" i="12"/>
  <c r="E667" i="12"/>
  <c r="E668" i="12"/>
  <c r="E669" i="12"/>
  <c r="E670" i="12"/>
  <c r="E671" i="12"/>
  <c r="E672" i="12"/>
  <c r="E673" i="12"/>
  <c r="E674" i="12"/>
  <c r="E675" i="12"/>
  <c r="E676" i="12"/>
  <c r="E677" i="12"/>
  <c r="E678" i="12"/>
  <c r="E679" i="12"/>
  <c r="E680" i="12"/>
  <c r="E681" i="12"/>
  <c r="E682" i="12"/>
  <c r="E683" i="12"/>
  <c r="E684" i="12"/>
  <c r="E685" i="12"/>
  <c r="E686" i="12"/>
  <c r="E687" i="12"/>
  <c r="E688" i="12"/>
  <c r="E689" i="12"/>
  <c r="E690" i="12"/>
  <c r="E691" i="12"/>
  <c r="E692" i="12"/>
  <c r="E693" i="12"/>
  <c r="E694" i="12"/>
  <c r="E695" i="12"/>
  <c r="E696" i="12"/>
  <c r="E697" i="12"/>
  <c r="E698" i="12"/>
  <c r="E699" i="12"/>
  <c r="E700" i="12"/>
  <c r="E701" i="12"/>
  <c r="E702" i="12"/>
  <c r="E703" i="12"/>
  <c r="E704" i="12"/>
  <c r="E705" i="12"/>
  <c r="E706" i="12"/>
  <c r="E707" i="12"/>
  <c r="E708" i="12"/>
  <c r="E709" i="12"/>
  <c r="E710" i="12"/>
  <c r="E711" i="12"/>
  <c r="E712" i="12"/>
  <c r="E713" i="12"/>
  <c r="E714" i="12"/>
  <c r="E715" i="12"/>
  <c r="E716" i="12"/>
  <c r="E717" i="12"/>
  <c r="E718" i="12"/>
  <c r="E719" i="12"/>
  <c r="E720" i="12"/>
  <c r="E721" i="12"/>
  <c r="E722" i="12"/>
  <c r="E723" i="12"/>
  <c r="E724" i="12"/>
  <c r="E725" i="12"/>
  <c r="E726" i="12"/>
  <c r="E727" i="12"/>
  <c r="E728" i="12"/>
  <c r="E729" i="12"/>
  <c r="E730" i="12"/>
  <c r="E731" i="12"/>
  <c r="E732" i="12"/>
  <c r="E733" i="12"/>
  <c r="E734" i="12"/>
  <c r="E735" i="12"/>
  <c r="E736" i="12"/>
  <c r="E737" i="12"/>
  <c r="E738" i="12"/>
  <c r="E739" i="12"/>
  <c r="E740" i="12"/>
  <c r="E741" i="12"/>
  <c r="E742" i="12"/>
  <c r="E743" i="12"/>
  <c r="E744" i="12"/>
  <c r="E745" i="12"/>
  <c r="E746" i="12"/>
  <c r="E747" i="12"/>
  <c r="E748" i="12"/>
  <c r="E749" i="12"/>
  <c r="E750" i="12"/>
  <c r="E751" i="12"/>
  <c r="E752" i="12"/>
  <c r="E753" i="12"/>
  <c r="E754" i="12"/>
  <c r="E755" i="12"/>
  <c r="E756" i="12"/>
  <c r="E757" i="12"/>
  <c r="E758" i="12"/>
  <c r="E759" i="12"/>
  <c r="E760" i="12"/>
  <c r="E761" i="12"/>
  <c r="E762" i="12"/>
  <c r="E763" i="12"/>
  <c r="E764" i="12"/>
  <c r="E765" i="12"/>
  <c r="E766" i="12"/>
  <c r="E767" i="12"/>
  <c r="E768" i="12"/>
  <c r="E769" i="12"/>
  <c r="E770" i="12"/>
  <c r="E771" i="12"/>
  <c r="E772" i="12"/>
  <c r="E773" i="12"/>
  <c r="E774" i="12"/>
  <c r="E775" i="12"/>
  <c r="E776" i="12"/>
  <c r="E777" i="12"/>
  <c r="E778" i="12"/>
  <c r="E779" i="12"/>
  <c r="E780" i="12"/>
  <c r="E781" i="12"/>
  <c r="E782" i="12"/>
  <c r="E783" i="12"/>
  <c r="E784" i="12"/>
  <c r="E785" i="12"/>
  <c r="E786" i="12"/>
  <c r="E787" i="12"/>
  <c r="E788" i="12"/>
  <c r="E789" i="12"/>
  <c r="E790" i="12"/>
  <c r="E791" i="12"/>
  <c r="E792" i="12"/>
  <c r="E793" i="12"/>
  <c r="E794" i="12"/>
  <c r="E795" i="12"/>
  <c r="E796" i="12"/>
  <c r="E797" i="12"/>
  <c r="E798" i="12"/>
  <c r="E799" i="12"/>
  <c r="E800" i="12"/>
  <c r="E801" i="12"/>
  <c r="E802" i="12"/>
  <c r="E803" i="12"/>
  <c r="E804" i="12"/>
  <c r="E805" i="12"/>
  <c r="E806" i="12"/>
  <c r="E807" i="12"/>
  <c r="E808" i="12"/>
  <c r="E809" i="12"/>
  <c r="E810" i="12"/>
  <c r="E811" i="12"/>
  <c r="E812" i="12"/>
  <c r="E813" i="12"/>
  <c r="E814" i="12"/>
  <c r="E815" i="12"/>
  <c r="E816" i="12"/>
  <c r="E817" i="12"/>
  <c r="E818" i="12"/>
  <c r="E819" i="12"/>
  <c r="E820" i="12"/>
  <c r="E821" i="12"/>
  <c r="E822" i="12"/>
  <c r="E823" i="12"/>
  <c r="E824" i="12"/>
  <c r="E825" i="12"/>
  <c r="E826" i="12"/>
  <c r="E827" i="12"/>
  <c r="E828" i="12"/>
  <c r="E829" i="12"/>
  <c r="E830" i="12"/>
  <c r="E831" i="12"/>
  <c r="E832" i="12"/>
  <c r="E833" i="12"/>
  <c r="E834" i="12"/>
  <c r="E835" i="12"/>
  <c r="E836" i="12"/>
  <c r="E837" i="12"/>
  <c r="E838" i="12"/>
  <c r="E839" i="12"/>
  <c r="E840" i="12"/>
  <c r="E841" i="12"/>
  <c r="E842" i="12"/>
  <c r="E843" i="12"/>
  <c r="E844" i="12"/>
  <c r="E845" i="12"/>
  <c r="E846" i="12"/>
  <c r="E847" i="12"/>
  <c r="E848" i="12"/>
  <c r="E849" i="12"/>
  <c r="E850" i="12"/>
  <c r="E851" i="12"/>
  <c r="E852" i="12"/>
  <c r="E853" i="12"/>
  <c r="E854" i="12"/>
  <c r="E855" i="12"/>
  <c r="E856" i="12"/>
  <c r="E857" i="12"/>
  <c r="E858" i="12"/>
  <c r="E859" i="12"/>
  <c r="E860" i="12"/>
  <c r="E861" i="12"/>
  <c r="E862" i="12"/>
  <c r="E863" i="12"/>
  <c r="E864" i="12"/>
  <c r="E865" i="12"/>
  <c r="E866" i="12"/>
  <c r="E867" i="12"/>
  <c r="E868" i="12"/>
  <c r="E869" i="12"/>
  <c r="E870" i="12"/>
  <c r="E871" i="12"/>
  <c r="E872" i="12"/>
  <c r="E873" i="12"/>
  <c r="E874" i="12"/>
  <c r="E875" i="12"/>
  <c r="E876" i="12"/>
  <c r="E877" i="12"/>
  <c r="E878" i="12"/>
  <c r="E879" i="12"/>
  <c r="E880" i="12"/>
  <c r="E881" i="12"/>
  <c r="E882" i="12"/>
  <c r="E883" i="12"/>
  <c r="E884" i="12"/>
  <c r="E885" i="12"/>
  <c r="E886" i="12"/>
  <c r="E887" i="12"/>
  <c r="E888" i="12"/>
  <c r="E889" i="12"/>
  <c r="E890" i="12"/>
  <c r="E891" i="12"/>
  <c r="E892" i="12"/>
  <c r="E893" i="12"/>
  <c r="E894" i="12"/>
  <c r="E895" i="12"/>
  <c r="E896" i="12"/>
  <c r="E897" i="12"/>
  <c r="E898" i="12"/>
  <c r="E899" i="12"/>
  <c r="E900" i="12"/>
  <c r="E901" i="12"/>
  <c r="E902" i="12"/>
  <c r="E903" i="12"/>
  <c r="E904" i="12"/>
  <c r="E905" i="12"/>
  <c r="E906" i="12"/>
  <c r="E907" i="12"/>
  <c r="E908" i="12"/>
  <c r="E909" i="12"/>
  <c r="E910" i="12"/>
  <c r="E911" i="12"/>
  <c r="E912" i="12"/>
  <c r="E913" i="12"/>
  <c r="E914" i="12"/>
  <c r="E915" i="12"/>
  <c r="E916" i="12"/>
  <c r="E917" i="12"/>
  <c r="E918" i="12"/>
  <c r="E919" i="12"/>
  <c r="E920" i="12"/>
  <c r="E921" i="12"/>
  <c r="E922" i="12"/>
  <c r="E923" i="12"/>
  <c r="E924" i="12"/>
  <c r="E925" i="12"/>
  <c r="E926" i="12"/>
  <c r="E927" i="12"/>
  <c r="E928" i="12"/>
  <c r="E929" i="12"/>
  <c r="E930" i="12"/>
  <c r="E931" i="12"/>
  <c r="E932" i="12"/>
  <c r="E933" i="12"/>
  <c r="E934" i="12"/>
  <c r="E935" i="12"/>
  <c r="E936" i="12"/>
  <c r="E937" i="12"/>
  <c r="E938" i="12"/>
  <c r="E939" i="12"/>
  <c r="E940" i="12"/>
  <c r="E941" i="12"/>
  <c r="E942" i="12"/>
  <c r="E943" i="12"/>
  <c r="E944" i="12"/>
  <c r="E945" i="12"/>
  <c r="E946" i="12"/>
  <c r="E947" i="12"/>
  <c r="E948" i="12"/>
  <c r="E949" i="12"/>
  <c r="E950" i="12"/>
  <c r="E951" i="12"/>
  <c r="E952" i="12"/>
  <c r="E953" i="12"/>
  <c r="E954" i="12"/>
  <c r="E955" i="12"/>
  <c r="E956" i="12"/>
  <c r="E957" i="12"/>
  <c r="E958" i="12"/>
  <c r="E959" i="12"/>
  <c r="E960" i="12"/>
  <c r="E961" i="12"/>
  <c r="E962" i="12"/>
  <c r="E963" i="12"/>
  <c r="E964" i="12"/>
  <c r="E965" i="12"/>
  <c r="E966" i="12"/>
  <c r="E967" i="12"/>
  <c r="E968" i="12"/>
  <c r="E969" i="12"/>
  <c r="E970" i="12"/>
  <c r="E971" i="12"/>
  <c r="E972" i="12"/>
  <c r="E973" i="12"/>
  <c r="E974" i="12"/>
  <c r="E975" i="12"/>
  <c r="E976" i="12"/>
  <c r="E977" i="12"/>
  <c r="E978" i="12"/>
  <c r="E979" i="12"/>
  <c r="E980" i="12"/>
  <c r="E981" i="12"/>
  <c r="E982" i="12"/>
  <c r="E983" i="12"/>
  <c r="E984" i="12"/>
  <c r="E985" i="12"/>
  <c r="E986" i="12"/>
  <c r="E987" i="12"/>
  <c r="E988" i="12"/>
  <c r="E989" i="12"/>
  <c r="E990" i="12"/>
  <c r="E991" i="12"/>
  <c r="E992" i="12"/>
  <c r="E993" i="12"/>
  <c r="E994" i="12"/>
  <c r="E995" i="12"/>
  <c r="E996" i="12"/>
  <c r="E997" i="12"/>
  <c r="E998" i="12"/>
  <c r="E999" i="12"/>
  <c r="E1000" i="12"/>
  <c r="E1001" i="12"/>
  <c r="E1002" i="12"/>
  <c r="E1003" i="12"/>
  <c r="E1004" i="12"/>
  <c r="E1005" i="12"/>
  <c r="E1006" i="12"/>
  <c r="E1007" i="12"/>
  <c r="E1008" i="12"/>
  <c r="E1009" i="12"/>
  <c r="E1010" i="12"/>
  <c r="E1011" i="12"/>
  <c r="E1012" i="12"/>
  <c r="E1013" i="12"/>
  <c r="E1014" i="12"/>
  <c r="E1015" i="12"/>
  <c r="E1016" i="12"/>
  <c r="E1017" i="12"/>
  <c r="E1018" i="12"/>
  <c r="E1019" i="12"/>
  <c r="E1020" i="12"/>
  <c r="E1021" i="12"/>
  <c r="E1022" i="12"/>
  <c r="E1023" i="12"/>
  <c r="E1024" i="12"/>
  <c r="E1025" i="12"/>
  <c r="E1026" i="12"/>
  <c r="E1027" i="12"/>
  <c r="E1028" i="12"/>
  <c r="E1029" i="12"/>
  <c r="E1030" i="12"/>
  <c r="E1031" i="12"/>
  <c r="E1032" i="12"/>
  <c r="E1033" i="12"/>
  <c r="E1034" i="12"/>
  <c r="E1035" i="12"/>
  <c r="E1036" i="12"/>
  <c r="E1037" i="12"/>
  <c r="E1038" i="12"/>
  <c r="E1039" i="12"/>
  <c r="E1040" i="12"/>
  <c r="E1041" i="12"/>
  <c r="E1042" i="12"/>
  <c r="E1043" i="12"/>
  <c r="E1044" i="12"/>
  <c r="E1045" i="12"/>
  <c r="E1046" i="12"/>
  <c r="E1047" i="12"/>
  <c r="E1048" i="12"/>
  <c r="E1049" i="12"/>
  <c r="E1050" i="12"/>
  <c r="E1051" i="12"/>
  <c r="E1052" i="12"/>
  <c r="E1053" i="12"/>
  <c r="E1054" i="12"/>
  <c r="E1055" i="12"/>
  <c r="E1056" i="12"/>
  <c r="E1057" i="12"/>
  <c r="E1058" i="12"/>
  <c r="E1059" i="12"/>
  <c r="E1060" i="12"/>
  <c r="E1061" i="12"/>
  <c r="E1062" i="12"/>
  <c r="E1063" i="12"/>
  <c r="E1064" i="12"/>
  <c r="E1065" i="12"/>
  <c r="E1066" i="12"/>
  <c r="E1067" i="12"/>
  <c r="E1068" i="12"/>
  <c r="E1069" i="12"/>
  <c r="E1070" i="12"/>
  <c r="E1071" i="12"/>
  <c r="E1072" i="12"/>
  <c r="E1073" i="12"/>
  <c r="E1074" i="12"/>
  <c r="E1075" i="12"/>
  <c r="E1076" i="12"/>
  <c r="E1077" i="12"/>
  <c r="E1078" i="12"/>
  <c r="E1079" i="12"/>
  <c r="E1080" i="12"/>
  <c r="E1081" i="12"/>
  <c r="E1082" i="12"/>
  <c r="E1083" i="12"/>
  <c r="E1084" i="12"/>
  <c r="E1085" i="12"/>
  <c r="E1086" i="12"/>
  <c r="E1087" i="12"/>
  <c r="E1088" i="12"/>
  <c r="E1089" i="12"/>
  <c r="E1090" i="12"/>
  <c r="E1091" i="12"/>
  <c r="E1092" i="12"/>
  <c r="E1093" i="12"/>
  <c r="E1094" i="12"/>
  <c r="E1095" i="12"/>
  <c r="E1096" i="12"/>
  <c r="E1097" i="12"/>
  <c r="E1098" i="12"/>
  <c r="E1099" i="12"/>
  <c r="E1100" i="12"/>
  <c r="E1101" i="12"/>
  <c r="E1102" i="12"/>
  <c r="E1103" i="12"/>
  <c r="E1104" i="12"/>
  <c r="E1105" i="12"/>
  <c r="E1106" i="12"/>
  <c r="E1107" i="12"/>
  <c r="E1108" i="12"/>
  <c r="E1109" i="12"/>
  <c r="E1110" i="12"/>
  <c r="E1111" i="12"/>
  <c r="E1112" i="12"/>
  <c r="E1113" i="12"/>
  <c r="E1114" i="12"/>
  <c r="E1115" i="12"/>
  <c r="E1116" i="12"/>
  <c r="E1117" i="12"/>
  <c r="E1118" i="12"/>
  <c r="E1119" i="12"/>
  <c r="E1120" i="12"/>
  <c r="E1121" i="12"/>
  <c r="E1122" i="12"/>
  <c r="E1123" i="12"/>
  <c r="E1124" i="12"/>
  <c r="E3" i="12"/>
  <c r="B2" i="16"/>
  <c r="D2" i="16" s="1"/>
  <c r="Q5" i="12"/>
  <c r="Q4" i="12"/>
  <c r="Q3" i="12"/>
  <c r="N58" i="19" l="1"/>
  <c r="N89" i="19"/>
  <c r="N17" i="19"/>
  <c r="M36" i="19"/>
  <c r="C348" i="5"/>
  <c r="M31" i="19"/>
  <c r="C343" i="5"/>
  <c r="M32" i="19"/>
  <c r="C344" i="5"/>
  <c r="C311" i="5"/>
  <c r="M33" i="19"/>
  <c r="C345" i="5"/>
  <c r="C312" i="5"/>
  <c r="C310" i="5"/>
  <c r="M34" i="19"/>
  <c r="C346" i="5"/>
  <c r="M35" i="19"/>
  <c r="C347" i="5"/>
  <c r="C309" i="5"/>
  <c r="M37" i="19"/>
  <c r="C349" i="5"/>
  <c r="C308" i="5"/>
  <c r="M30" i="19"/>
  <c r="C307" i="5"/>
  <c r="N12" i="20"/>
  <c r="H16" i="23"/>
  <c r="H28" i="23"/>
  <c r="L33" i="23" s="1"/>
  <c r="H30" i="23" s="1"/>
  <c r="H31" i="23" s="1"/>
  <c r="I31" i="23" s="1"/>
  <c r="I32" i="23" s="1"/>
  <c r="H28" i="26"/>
  <c r="H16" i="26"/>
  <c r="N22" i="20"/>
  <c r="N27" i="20" s="1"/>
  <c r="N25" i="19"/>
  <c r="N38" i="19" s="1"/>
  <c r="C336" i="5"/>
  <c r="C362" i="5"/>
  <c r="M7" i="10"/>
  <c r="N50" i="20"/>
  <c r="M159" i="16"/>
  <c r="V160" i="16"/>
  <c r="W160" i="16" s="1"/>
  <c r="V158" i="16"/>
  <c r="W158" i="16" s="1"/>
  <c r="V159" i="16"/>
  <c r="W159" i="16" s="1"/>
  <c r="V157" i="16"/>
  <c r="W157" i="16" s="1"/>
  <c r="V156" i="16"/>
  <c r="W156" i="16" s="1"/>
  <c r="M157" i="16"/>
  <c r="S160" i="16"/>
  <c r="M160" i="16"/>
  <c r="M156" i="16"/>
  <c r="N41" i="20"/>
  <c r="S159" i="16"/>
  <c r="S156" i="16"/>
  <c r="Q159" i="16"/>
  <c r="Q156" i="16"/>
  <c r="Q160" i="16"/>
  <c r="S158" i="16"/>
  <c r="Q158" i="16"/>
  <c r="G156" i="16"/>
  <c r="M158" i="16"/>
  <c r="Q157" i="16"/>
  <c r="S157" i="16"/>
  <c r="M5" i="10"/>
  <c r="D158" i="16" s="1"/>
  <c r="E158" i="16" s="1"/>
  <c r="M74" i="19" l="1"/>
  <c r="N74" i="19" s="1"/>
  <c r="N75" i="19" s="1"/>
  <c r="C342" i="5"/>
  <c r="C306" i="5"/>
  <c r="H34" i="23"/>
  <c r="H33" i="23"/>
  <c r="H19" i="26"/>
  <c r="H20" i="26"/>
  <c r="H22" i="26"/>
  <c r="H23" i="26" s="1"/>
  <c r="H34" i="26"/>
  <c r="L33" i="26"/>
  <c r="H30" i="26" s="1"/>
  <c r="H31" i="26" s="1"/>
  <c r="I31" i="26" s="1"/>
  <c r="I32" i="26" s="1"/>
  <c r="H33" i="26"/>
  <c r="H22" i="23"/>
  <c r="H23" i="23" s="1"/>
  <c r="H20" i="23"/>
  <c r="H19" i="23"/>
  <c r="F157" i="16"/>
  <c r="F158" i="16"/>
  <c r="G157" i="16"/>
  <c r="G158" i="16"/>
  <c r="M6" i="10"/>
  <c r="D159" i="16" s="1"/>
  <c r="E159" i="16" s="1"/>
  <c r="M4" i="10"/>
  <c r="D157" i="16" s="1"/>
  <c r="E157" i="16" s="1"/>
  <c r="D160" i="16"/>
  <c r="E160" i="16" s="1"/>
  <c r="M3" i="10"/>
  <c r="D156" i="16" s="1"/>
  <c r="E156" i="16" s="1"/>
  <c r="H32" i="23" l="1"/>
  <c r="H35" i="23" s="1"/>
  <c r="C304" i="5"/>
  <c r="C313" i="5"/>
  <c r="C340" i="5"/>
  <c r="H32" i="26"/>
  <c r="H35" i="26" s="1"/>
  <c r="F159" i="16"/>
  <c r="H18" i="23"/>
  <c r="H21" i="23" s="1"/>
  <c r="H4" i="23" s="1"/>
  <c r="H18" i="26"/>
  <c r="H21" i="26" s="1"/>
  <c r="H4" i="26" s="1"/>
  <c r="H158" i="16"/>
  <c r="N158" i="16" s="1"/>
  <c r="O158" i="16" s="1"/>
  <c r="H157" i="16"/>
  <c r="N157" i="16" s="1"/>
  <c r="O157" i="16" s="1"/>
  <c r="F156" i="16"/>
  <c r="H156" i="16" s="1"/>
  <c r="M66" i="20" l="1"/>
  <c r="N66" i="20" s="1"/>
  <c r="N73" i="20" s="1"/>
  <c r="N156" i="16"/>
  <c r="O156" i="16" s="1"/>
  <c r="F160" i="16"/>
  <c r="M49" i="20" l="1"/>
  <c r="N49" i="20" s="1"/>
  <c r="N57" i="20" l="1"/>
  <c r="G159" i="16" s="1"/>
  <c r="H159" i="16" s="1"/>
  <c r="N159" i="16" s="1"/>
  <c r="O159" i="16" s="1"/>
  <c r="N76" i="20"/>
  <c r="G160" i="16" l="1"/>
  <c r="H160" i="16" s="1"/>
  <c r="I156" i="16" s="1"/>
  <c r="I160" i="16" l="1"/>
  <c r="J160" i="16" s="1"/>
  <c r="I159" i="16"/>
  <c r="J159" i="16" s="1"/>
  <c r="A159" i="16" s="1"/>
  <c r="N160" i="16"/>
  <c r="O160" i="16" s="1"/>
  <c r="J156" i="16"/>
  <c r="A156" i="16" s="1"/>
  <c r="I158" i="16"/>
  <c r="J158" i="16" s="1"/>
  <c r="A158" i="16" s="1"/>
  <c r="I157" i="16"/>
  <c r="J157" i="16" s="1"/>
  <c r="A157" i="16" s="1"/>
  <c r="A160" i="16" l="1"/>
  <c r="B158" i="16" s="1"/>
  <c r="B156" i="16" l="1"/>
  <c r="B160" i="16"/>
  <c r="B159" i="16"/>
  <c r="B157" i="16"/>
  <c r="B142" i="5" l="1"/>
  <c r="B140" i="5"/>
  <c r="B81" i="5"/>
  <c r="C170" i="16"/>
  <c r="E272" i="16" s="1"/>
  <c r="E273" i="16" s="1"/>
  <c r="B198" i="5"/>
  <c r="B83" i="5"/>
  <c r="B200" i="5"/>
  <c r="C168" i="16"/>
  <c r="E178" i="16" s="1"/>
  <c r="D201" i="16" s="1"/>
  <c r="C169" i="16"/>
  <c r="B225" i="16" s="1"/>
  <c r="B248" i="16" s="1"/>
  <c r="C147" i="5" s="1"/>
  <c r="E179" i="16" l="1"/>
  <c r="D202" i="16" s="1"/>
  <c r="A111" i="5" s="1"/>
  <c r="B178" i="16"/>
  <c r="A201" i="16" s="1"/>
  <c r="A88" i="5" s="1"/>
  <c r="A269" i="16"/>
  <c r="H294" i="16" s="1"/>
  <c r="C241" i="5" s="1"/>
  <c r="B63" i="5"/>
  <c r="B185" i="5" s="1"/>
  <c r="B197" i="5" s="1"/>
  <c r="B272" i="16"/>
  <c r="B273" i="16" s="1"/>
  <c r="B296" i="16" s="1"/>
  <c r="C206" i="5" s="1"/>
  <c r="D295" i="16"/>
  <c r="A227" i="5" s="1"/>
  <c r="E295" i="16"/>
  <c r="C227" i="5" s="1"/>
  <c r="E225" i="16"/>
  <c r="D248" i="16" s="1"/>
  <c r="A169" i="5" s="1"/>
  <c r="B62" i="5"/>
  <c r="A222" i="16"/>
  <c r="H247" i="16" s="1"/>
  <c r="C183" i="5" s="1"/>
  <c r="A175" i="16"/>
  <c r="B61" i="5"/>
  <c r="B226" i="16"/>
  <c r="A249" i="16" s="1"/>
  <c r="A148" i="5" s="1"/>
  <c r="A248" i="16"/>
  <c r="A147" i="5" s="1"/>
  <c r="E296" i="16"/>
  <c r="C228" i="5" s="1"/>
  <c r="E274" i="16"/>
  <c r="D296" i="16"/>
  <c r="A228" i="5" s="1"/>
  <c r="B201" i="5" l="1"/>
  <c r="B127" i="5"/>
  <c r="B139" i="5" s="1"/>
  <c r="B68" i="5"/>
  <c r="B80" i="5" s="1"/>
  <c r="E202" i="16"/>
  <c r="C111" i="5" s="1"/>
  <c r="E180" i="16"/>
  <c r="E181" i="16" s="1"/>
  <c r="A110" i="5"/>
  <c r="E201" i="16"/>
  <c r="C110" i="5" s="1"/>
  <c r="B191" i="5"/>
  <c r="H295" i="16"/>
  <c r="B274" i="16"/>
  <c r="B297" i="16" s="1"/>
  <c r="C207" i="5" s="1"/>
  <c r="B295" i="16"/>
  <c r="C205" i="5" s="1"/>
  <c r="B190" i="5"/>
  <c r="A295" i="16"/>
  <c r="A205" i="5" s="1"/>
  <c r="A296" i="16"/>
  <c r="A206" i="5" s="1"/>
  <c r="H201" i="16"/>
  <c r="H200" i="16"/>
  <c r="C124" i="5" s="1"/>
  <c r="B192" i="5"/>
  <c r="B249" i="16"/>
  <c r="C148" i="5" s="1"/>
  <c r="B196" i="5"/>
  <c r="B179" i="16"/>
  <c r="B202" i="16" s="1"/>
  <c r="C89" i="5" s="1"/>
  <c r="B195" i="5"/>
  <c r="E248" i="16"/>
  <c r="C169" i="5" s="1"/>
  <c r="B188" i="5"/>
  <c r="B194" i="5"/>
  <c r="E226" i="16"/>
  <c r="E227" i="16" s="1"/>
  <c r="D250" i="16" s="1"/>
  <c r="A171" i="5" s="1"/>
  <c r="B189" i="5"/>
  <c r="B193" i="5"/>
  <c r="H248" i="16"/>
  <c r="B227" i="16"/>
  <c r="B228" i="16" s="1"/>
  <c r="B201" i="16"/>
  <c r="C88" i="5" s="1"/>
  <c r="E275" i="16"/>
  <c r="E297" i="16"/>
  <c r="C229" i="5" s="1"/>
  <c r="D297" i="16"/>
  <c r="A229" i="5" s="1"/>
  <c r="B79" i="5" l="1"/>
  <c r="B84" i="5"/>
  <c r="B143" i="5"/>
  <c r="B78" i="5"/>
  <c r="B76" i="5"/>
  <c r="B74" i="5"/>
  <c r="B71" i="5"/>
  <c r="B77" i="5"/>
  <c r="B75" i="5"/>
  <c r="B73" i="5"/>
  <c r="B72" i="5"/>
  <c r="B138" i="5"/>
  <c r="B134" i="5"/>
  <c r="B136" i="5"/>
  <c r="B133" i="5"/>
  <c r="B135" i="5"/>
  <c r="B137" i="5"/>
  <c r="B130" i="5"/>
  <c r="B131" i="5"/>
  <c r="B132" i="5"/>
  <c r="D203" i="16"/>
  <c r="A112" i="5" s="1"/>
  <c r="E203" i="16"/>
  <c r="C112" i="5" s="1"/>
  <c r="A297" i="16"/>
  <c r="A207" i="5" s="1"/>
  <c r="B275" i="16"/>
  <c r="B276" i="16" s="1"/>
  <c r="H296" i="16"/>
  <c r="A202" i="16"/>
  <c r="A89" i="5" s="1"/>
  <c r="B180" i="16"/>
  <c r="B181" i="16" s="1"/>
  <c r="A204" i="16" s="1"/>
  <c r="A91" i="5" s="1"/>
  <c r="H202" i="16"/>
  <c r="H249" i="16"/>
  <c r="E228" i="16"/>
  <c r="D251" i="16" s="1"/>
  <c r="A172" i="5" s="1"/>
  <c r="E250" i="16"/>
  <c r="C171" i="5" s="1"/>
  <c r="D249" i="16"/>
  <c r="A170" i="5" s="1"/>
  <c r="E249" i="16"/>
  <c r="C170" i="5" s="1"/>
  <c r="A250" i="16"/>
  <c r="A149" i="5" s="1"/>
  <c r="B250" i="16"/>
  <c r="C149" i="5" s="1"/>
  <c r="A251" i="16"/>
  <c r="A150" i="5" s="1"/>
  <c r="B229" i="16"/>
  <c r="B251" i="16"/>
  <c r="C150" i="5" s="1"/>
  <c r="E182" i="16"/>
  <c r="E204" i="16"/>
  <c r="C113" i="5" s="1"/>
  <c r="D204" i="16"/>
  <c r="A113" i="5" s="1"/>
  <c r="E298" i="16"/>
  <c r="C230" i="5" s="1"/>
  <c r="D298" i="16"/>
  <c r="A230" i="5" s="1"/>
  <c r="E276" i="16"/>
  <c r="A298" i="16" l="1"/>
  <c r="A208" i="5" s="1"/>
  <c r="B298" i="16"/>
  <c r="C208" i="5" s="1"/>
  <c r="B204" i="16"/>
  <c r="C91" i="5" s="1"/>
  <c r="B182" i="16"/>
  <c r="A205" i="16" s="1"/>
  <c r="A92" i="5" s="1"/>
  <c r="A203" i="16"/>
  <c r="A90" i="5" s="1"/>
  <c r="E229" i="16"/>
  <c r="D252" i="16" s="1"/>
  <c r="A173" i="5" s="1"/>
  <c r="E251" i="16"/>
  <c r="C172" i="5" s="1"/>
  <c r="B203" i="16"/>
  <c r="C90" i="5" s="1"/>
  <c r="E183" i="16"/>
  <c r="E205" i="16"/>
  <c r="C114" i="5" s="1"/>
  <c r="D205" i="16"/>
  <c r="A114" i="5" s="1"/>
  <c r="B299" i="16"/>
  <c r="C209" i="5" s="1"/>
  <c r="A299" i="16"/>
  <c r="A209" i="5" s="1"/>
  <c r="B277" i="16"/>
  <c r="B230" i="16"/>
  <c r="B252" i="16"/>
  <c r="C151" i="5" s="1"/>
  <c r="A252" i="16"/>
  <c r="A151" i="5" s="1"/>
  <c r="E299" i="16"/>
  <c r="C231" i="5" s="1"/>
  <c r="D299" i="16"/>
  <c r="A231" i="5" s="1"/>
  <c r="E277" i="16"/>
  <c r="B205" i="16" l="1"/>
  <c r="C92" i="5" s="1"/>
  <c r="B183" i="16"/>
  <c r="A206" i="16" s="1"/>
  <c r="A93" i="5" s="1"/>
  <c r="E230" i="16"/>
  <c r="D253" i="16" s="1"/>
  <c r="A174" i="5" s="1"/>
  <c r="E252" i="16"/>
  <c r="C173" i="5" s="1"/>
  <c r="B253" i="16"/>
  <c r="C152" i="5" s="1"/>
  <c r="A253" i="16"/>
  <c r="A152" i="5" s="1"/>
  <c r="B231" i="16"/>
  <c r="B278" i="16"/>
  <c r="B300" i="16"/>
  <c r="C210" i="5" s="1"/>
  <c r="A300" i="16"/>
  <c r="A210" i="5" s="1"/>
  <c r="E300" i="16"/>
  <c r="C232" i="5" s="1"/>
  <c r="E278" i="16"/>
  <c r="D300" i="16"/>
  <c r="A232" i="5" s="1"/>
  <c r="E184" i="16"/>
  <c r="D206" i="16"/>
  <c r="A115" i="5" s="1"/>
  <c r="E206" i="16"/>
  <c r="C115" i="5" s="1"/>
  <c r="B184" i="16" l="1"/>
  <c r="A207" i="16" s="1"/>
  <c r="A94" i="5" s="1"/>
  <c r="B206" i="16"/>
  <c r="C93" i="5" s="1"/>
  <c r="E253" i="16"/>
  <c r="C174" i="5" s="1"/>
  <c r="E231" i="16"/>
  <c r="E254" i="16" s="1"/>
  <c r="C175" i="5" s="1"/>
  <c r="E185" i="16"/>
  <c r="E207" i="16"/>
  <c r="C116" i="5" s="1"/>
  <c r="D207" i="16"/>
  <c r="A116" i="5" s="1"/>
  <c r="B279" i="16"/>
  <c r="B301" i="16"/>
  <c r="C211" i="5" s="1"/>
  <c r="A301" i="16"/>
  <c r="A211" i="5" s="1"/>
  <c r="E279" i="16"/>
  <c r="D301" i="16"/>
  <c r="A233" i="5" s="1"/>
  <c r="E301" i="16"/>
  <c r="C233" i="5" s="1"/>
  <c r="B232" i="16"/>
  <c r="A254" i="16"/>
  <c r="A153" i="5" s="1"/>
  <c r="B254" i="16"/>
  <c r="C153" i="5" s="1"/>
  <c r="B207" i="16"/>
  <c r="C94" i="5" s="1"/>
  <c r="B185" i="16" l="1"/>
  <c r="A208" i="16" s="1"/>
  <c r="A95" i="5" s="1"/>
  <c r="E232" i="16"/>
  <c r="D255" i="16" s="1"/>
  <c r="A176" i="5" s="1"/>
  <c r="D254" i="16"/>
  <c r="A175" i="5" s="1"/>
  <c r="E280" i="16"/>
  <c r="E302" i="16"/>
  <c r="C234" i="5" s="1"/>
  <c r="D302" i="16"/>
  <c r="A234" i="5" s="1"/>
  <c r="A302" i="16"/>
  <c r="A212" i="5" s="1"/>
  <c r="B302" i="16"/>
  <c r="C212" i="5" s="1"/>
  <c r="B280" i="16"/>
  <c r="A255" i="16"/>
  <c r="A154" i="5" s="1"/>
  <c r="B233" i="16"/>
  <c r="B255" i="16"/>
  <c r="C154" i="5" s="1"/>
  <c r="E208" i="16"/>
  <c r="C117" i="5" s="1"/>
  <c r="D208" i="16"/>
  <c r="A117" i="5" s="1"/>
  <c r="E186" i="16"/>
  <c r="E209" i="16" s="1"/>
  <c r="C118" i="5" s="1"/>
  <c r="B208" i="16" l="1"/>
  <c r="C95" i="5" s="1"/>
  <c r="B186" i="16"/>
  <c r="A209" i="16" s="1"/>
  <c r="A96" i="5" s="1"/>
  <c r="E233" i="16"/>
  <c r="D256" i="16" s="1"/>
  <c r="A177" i="5" s="1"/>
  <c r="E255" i="16"/>
  <c r="C176" i="5" s="1"/>
  <c r="D303" i="16"/>
  <c r="A235" i="5" s="1"/>
  <c r="E303" i="16"/>
  <c r="C235" i="5" s="1"/>
  <c r="E281" i="16"/>
  <c r="B256" i="16"/>
  <c r="C155" i="5" s="1"/>
  <c r="B234" i="16"/>
  <c r="A256" i="16"/>
  <c r="A155" i="5" s="1"/>
  <c r="E187" i="16"/>
  <c r="D209" i="16"/>
  <c r="A118" i="5" s="1"/>
  <c r="A303" i="16"/>
  <c r="A213" i="5" s="1"/>
  <c r="B303" i="16"/>
  <c r="C213" i="5" s="1"/>
  <c r="B281" i="16"/>
  <c r="B187" i="16" l="1"/>
  <c r="B210" i="16" s="1"/>
  <c r="C97" i="5" s="1"/>
  <c r="B209" i="16"/>
  <c r="C96" i="5" s="1"/>
  <c r="E256" i="16"/>
  <c r="C177" i="5" s="1"/>
  <c r="E234" i="16"/>
  <c r="E257" i="16" s="1"/>
  <c r="C178" i="5" s="1"/>
  <c r="E304" i="16"/>
  <c r="C236" i="5" s="1"/>
  <c r="D304" i="16"/>
  <c r="A236" i="5" s="1"/>
  <c r="B257" i="16"/>
  <c r="C156" i="5" s="1"/>
  <c r="A257" i="16"/>
  <c r="A156" i="5" s="1"/>
  <c r="B235" i="16"/>
  <c r="B304" i="16"/>
  <c r="C214" i="5" s="1"/>
  <c r="A304" i="16"/>
  <c r="A214" i="5" s="1"/>
  <c r="B282" i="16"/>
  <c r="D210" i="16"/>
  <c r="A119" i="5" s="1"/>
  <c r="E210" i="16"/>
  <c r="C119" i="5" s="1"/>
  <c r="A210" i="16" l="1"/>
  <c r="A97" i="5" s="1"/>
  <c r="B188" i="16"/>
  <c r="B211" i="16" s="1"/>
  <c r="C98" i="5" s="1"/>
  <c r="D257" i="16"/>
  <c r="A178" i="5" s="1"/>
  <c r="B236" i="16"/>
  <c r="B258" i="16"/>
  <c r="C157" i="5" s="1"/>
  <c r="A258" i="16"/>
  <c r="A157" i="5" s="1"/>
  <c r="B305" i="16"/>
  <c r="C215" i="5" s="1"/>
  <c r="A305" i="16"/>
  <c r="A215" i="5" s="1"/>
  <c r="B283" i="16"/>
  <c r="B189" i="16" l="1"/>
  <c r="A211" i="16"/>
  <c r="A98" i="5" s="1"/>
  <c r="B284" i="16"/>
  <c r="A306" i="16"/>
  <c r="A216" i="5" s="1"/>
  <c r="B306" i="16"/>
  <c r="C216" i="5" s="1"/>
  <c r="B259" i="16"/>
  <c r="C158" i="5" s="1"/>
  <c r="B237" i="16"/>
  <c r="A259" i="16"/>
  <c r="A158" i="5" s="1"/>
  <c r="B190" i="16"/>
  <c r="B212" i="16"/>
  <c r="C99" i="5" s="1"/>
  <c r="A212" i="16"/>
  <c r="A99" i="5" s="1"/>
  <c r="B191" i="16" l="1"/>
  <c r="B213" i="16"/>
  <c r="C100" i="5" s="1"/>
  <c r="A213" i="16"/>
  <c r="A100" i="5" s="1"/>
  <c r="A260" i="16"/>
  <c r="A159" i="5" s="1"/>
  <c r="B260" i="16"/>
  <c r="C159" i="5" s="1"/>
  <c r="B238" i="16"/>
  <c r="B307" i="16"/>
  <c r="C217" i="5" s="1"/>
  <c r="A307" i="16"/>
  <c r="A217" i="5" s="1"/>
  <c r="B285" i="16"/>
  <c r="B239" i="16" l="1"/>
  <c r="B261" i="16"/>
  <c r="C160" i="5" s="1"/>
  <c r="A261" i="16"/>
  <c r="A160" i="5" s="1"/>
  <c r="B308" i="16"/>
  <c r="C218" i="5" s="1"/>
  <c r="A308" i="16"/>
  <c r="A218" i="5" s="1"/>
  <c r="B286" i="16"/>
  <c r="B192" i="16"/>
  <c r="B214" i="16"/>
  <c r="C101" i="5" s="1"/>
  <c r="A214" i="16"/>
  <c r="A101" i="5" s="1"/>
  <c r="B193" i="16" l="1"/>
  <c r="B215" i="16"/>
  <c r="C102" i="5" s="1"/>
  <c r="A215" i="16"/>
  <c r="A102" i="5" s="1"/>
  <c r="B309" i="16"/>
  <c r="C219" i="5" s="1"/>
  <c r="A309" i="16"/>
  <c r="A219" i="5" s="1"/>
  <c r="B287" i="16"/>
  <c r="A262" i="16"/>
  <c r="A161" i="5" s="1"/>
  <c r="B240" i="16"/>
  <c r="B262" i="16"/>
  <c r="C161" i="5" s="1"/>
  <c r="A263" i="16" l="1"/>
  <c r="A162" i="5" s="1"/>
  <c r="B263" i="16"/>
  <c r="C162" i="5" s="1"/>
  <c r="B241" i="16"/>
  <c r="B310" i="16"/>
  <c r="C220" i="5" s="1"/>
  <c r="A310" i="16"/>
  <c r="A220" i="5" s="1"/>
  <c r="B288" i="16"/>
  <c r="B194" i="16"/>
  <c r="A216" i="16"/>
  <c r="A103" i="5" s="1"/>
  <c r="B216" i="16"/>
  <c r="C103" i="5" s="1"/>
  <c r="B195" i="16" l="1"/>
  <c r="B196" i="16" s="1"/>
  <c r="B197" i="16" s="1"/>
  <c r="C104" i="5"/>
  <c r="A104" i="5"/>
  <c r="A221" i="5"/>
  <c r="C221" i="5"/>
  <c r="B289" i="16"/>
  <c r="B290" i="16" s="1"/>
  <c r="B291" i="16" s="1"/>
  <c r="A163" i="5"/>
  <c r="C163" i="5"/>
  <c r="B242" i="16"/>
  <c r="B243" i="16" s="1"/>
  <c r="B244"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KELVIN PULIDO</author>
  </authors>
  <commentList>
    <comment ref="B11" authorId="0" shapeId="0" xr:uid="{C05A033C-F71A-4A8D-B1A9-36A42AEFEB54}">
      <text>
        <r>
          <rPr>
            <b/>
            <sz val="9"/>
            <color indexed="81"/>
            <rFont val="Tahoma"/>
            <family val="2"/>
          </rPr>
          <t>No se debe incluir como información adicional si dentro de la producción per cápita ya está incluido el valor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tc={D16795C3-1F4C-4AA2-B636-C0CA4E210238}</author>
    <author>tc={FC66AB1F-6ED0-410E-9F5C-3DDA07E75BB6}</author>
    <author>tc={03A23E64-80A7-4D74-879F-BC96A9ADAEB7}</author>
  </authors>
  <commentList>
    <comment ref="S6" authorId="0" shapeId="0" xr:uid="{D16795C3-1F4C-4AA2-B636-C0CA4E210238}">
      <text>
        <t>[Comentario encadenado]
Su versión de Excel le permite leer este comentario encadenado; sin embargo, las ediciones que se apliquen se quitarán si el archivo se abre en una versión más reciente de Excel. Más información: https://go.microsoft.com/fwlink/?linkid=870924
Comentario:
    Ingreso - rechazo</t>
      </text>
    </comment>
    <comment ref="S7" authorId="1" shapeId="0" xr:uid="{FC66AB1F-6ED0-410E-9F5C-3DDA07E75BB6}">
      <text>
        <t>[Comentario encadenado]
Su versión de Excel le permite leer este comentario encadenado; sin embargo, las ediciones que se apliquen se quitarán si el archivo se abre en una versión más reciente de Excel. Más información: https://go.microsoft.com/fwlink/?linkid=870924
Comentario:
    % organicos</t>
      </text>
    </comment>
    <comment ref="S8" authorId="2" shapeId="0" xr:uid="{03A23E64-80A7-4D74-879F-BC96A9ADAEB7}">
      <text>
        <t>[Comentario encadenado]
Su versión de Excel le permite leer este comentario encadenado; sin embargo, las ediciones que se apliquen se quitarán si el archivo se abre en una versión más reciente de Excel. Más información: https://go.microsoft.com/fwlink/?linkid=870924
Comentario:
    Material para aprovechamiento</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KELVIN PULIDO</author>
  </authors>
  <commentList>
    <comment ref="H30" authorId="0" shapeId="0" xr:uid="{5113A89B-1110-4D7F-8607-45463CC0049D}">
      <text>
        <r>
          <rPr>
            <b/>
            <sz val="9"/>
            <color indexed="81"/>
            <rFont val="Tahoma"/>
            <family val="2"/>
          </rPr>
          <t>KELVIN PULIDO:Revisar formula de actualización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KELVIN PULIDO</author>
  </authors>
  <commentList>
    <comment ref="H30" authorId="0" shapeId="0" xr:uid="{6E93C3C6-5B9B-44AF-86A8-04F85BF2D753}">
      <text>
        <r>
          <rPr>
            <b/>
            <sz val="9"/>
            <color indexed="81"/>
            <rFont val="Tahoma"/>
            <family val="2"/>
          </rPr>
          <t>KELVIN PULIDO:Revisar formula de actualización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KELVIN PULIDO</author>
  </authors>
  <commentList>
    <comment ref="D59" authorId="0" shapeId="0" xr:uid="{409E3DFE-989B-45A5-A455-E4043335D6A5}">
      <text>
        <r>
          <rPr>
            <b/>
            <sz val="9"/>
            <color indexed="81"/>
            <rFont val="Tahoma"/>
            <family val="2"/>
          </rPr>
          <t>Escalamiento de costos</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<sst xmlns="http://schemas.openxmlformats.org/spreadsheetml/2006/main" count="4115" uniqueCount="1564">
  <si>
    <t>INTRODUCCIÒN</t>
  </si>
  <si>
    <t>El presente Modelo de Toma de Decisiones (MTD) ofrece partiendo de la informacion suministrada por el usuario realizar un analisis de alternativas para reducir la cantidad de residuos sólidos objeto del Servicio Público de Aseo (SPA) que son destinados a la disposición final en Colombia a travès de la implementaciòn de tecnologias de tratamiento de residuos solidos.</t>
  </si>
  <si>
    <t>OBJETIVOS</t>
  </si>
  <si>
    <r>
      <rPr>
        <b/>
        <sz val="10"/>
        <color theme="1"/>
        <rFont val="Segoe UI"/>
        <family val="2"/>
      </rPr>
      <t xml:space="preserve">1) </t>
    </r>
    <r>
      <rPr>
        <sz val="10"/>
        <color theme="1"/>
        <rFont val="Segoe UI"/>
        <family val="2"/>
      </rPr>
      <t xml:space="preserve">Brindar un insumo que permita al usuario tomar decisiones frente a la implementación de tecnologías de tratamiento de residuos sólidos y que sirva de hoja de ruta inicial donde se identifiquen las consideraciones para garantizar el éxito de su implementación. 
</t>
    </r>
    <r>
      <rPr>
        <b/>
        <sz val="10"/>
        <color theme="1"/>
        <rFont val="Segoe UI"/>
        <family val="2"/>
      </rPr>
      <t xml:space="preserve">2) </t>
    </r>
    <r>
      <rPr>
        <sz val="10"/>
        <color theme="1"/>
        <rFont val="Segoe UI"/>
        <family val="2"/>
      </rPr>
      <t xml:space="preserve">Identificar, dentro de las diferentes tecnologías de tratamiento de residuos sólidos aplicables al contexto colombiano, aquella con mayor relación en cuanto al costo y al beneficio de su implementación en función de las necesidades y objetivos del usuario y de consideraciones técnicas, financieras y ambientales. </t>
    </r>
  </si>
  <si>
    <t>INSTRUCCIONES</t>
  </si>
  <si>
    <r>
      <t>Para correr el Modelo, el usuario deberá seguir las siguientes instrucciones:</t>
    </r>
    <r>
      <rPr>
        <b/>
        <sz val="10"/>
        <color theme="1"/>
        <rFont val="Segoe UI"/>
        <family val="2"/>
      </rPr>
      <t xml:space="preserve">
1) </t>
    </r>
    <r>
      <rPr>
        <sz val="10"/>
        <color theme="1"/>
        <rFont val="Segoe UI"/>
        <family val="2"/>
      </rPr>
      <t xml:space="preserve">En caso de que haya una alerta de seguridad acerca de las macros en la parte superior de la pantalla, hacer click en </t>
    </r>
    <r>
      <rPr>
        <i/>
        <sz val="10"/>
        <color theme="1"/>
        <rFont val="Segoe UI"/>
        <family val="2"/>
      </rPr>
      <t>"Habilitar contenido".</t>
    </r>
    <r>
      <rPr>
        <sz val="10"/>
        <color theme="1"/>
        <rFont val="Segoe UI"/>
        <family val="2"/>
      </rPr>
      <t xml:space="preserve">
</t>
    </r>
    <r>
      <rPr>
        <b/>
        <sz val="10"/>
        <color theme="1"/>
        <rFont val="Segoe UI"/>
        <family val="2"/>
      </rPr>
      <t xml:space="preserve">2) </t>
    </r>
    <r>
      <rPr>
        <sz val="10"/>
        <color theme="1"/>
        <rFont val="Segoe UI"/>
        <family val="2"/>
      </rPr>
      <t xml:space="preserve">Ingresar la información solicitada en la pestaña </t>
    </r>
    <r>
      <rPr>
        <i/>
        <sz val="10"/>
        <color theme="1"/>
        <rFont val="Segoe UI"/>
        <family val="2"/>
      </rPr>
      <t>"Datos de entrada". Esta secciòn representa el insumo principal del modelo la cual se debe completar segùn se indica.</t>
    </r>
    <r>
      <rPr>
        <sz val="10"/>
        <color theme="1"/>
        <rFont val="Segoe UI"/>
        <family val="2"/>
      </rPr>
      <t xml:space="preserve">
</t>
    </r>
    <r>
      <rPr>
        <b/>
        <sz val="10"/>
        <color theme="1"/>
        <rFont val="Segoe UI"/>
        <family val="2"/>
      </rPr>
      <t xml:space="preserve">3) </t>
    </r>
    <r>
      <rPr>
        <sz val="10"/>
        <color theme="1"/>
        <rFont val="Segoe UI"/>
        <family val="2"/>
      </rPr>
      <t xml:space="preserve">Revisar las salidas del Modelo y los análisis presentados en la pestaña </t>
    </r>
    <r>
      <rPr>
        <i/>
        <sz val="10"/>
        <color theme="1"/>
        <rFont val="Segoe UI"/>
        <family val="2"/>
      </rPr>
      <t>"Resultados"</t>
    </r>
    <r>
      <rPr>
        <sz val="10"/>
        <color theme="1"/>
        <rFont val="Segoe UI"/>
        <family val="2"/>
      </rPr>
      <t xml:space="preserve">. En esta secciòn se genera el archivo .pdf de los resultados generados.
</t>
    </r>
    <r>
      <rPr>
        <b/>
        <sz val="10"/>
        <color theme="1"/>
        <rFont val="Segoe UI"/>
        <family val="2"/>
      </rPr>
      <t xml:space="preserve">4) </t>
    </r>
    <r>
      <rPr>
        <sz val="10"/>
        <color theme="1"/>
        <rFont val="Segoe UI"/>
        <family val="2"/>
      </rPr>
      <t xml:space="preserve">La herramienta cuenta con un manual anexo el cual explica en mayor detalle los datos de entrada y los resultados obtenidos. </t>
    </r>
  </si>
  <si>
    <t>LECTURA DE RESULTADOS</t>
  </si>
  <si>
    <r>
      <rPr>
        <b/>
        <sz val="10"/>
        <color theme="1"/>
        <rFont val="Segoe UI"/>
        <family val="2"/>
      </rPr>
      <t>1)</t>
    </r>
    <r>
      <rPr>
        <sz val="10"/>
        <color theme="1"/>
        <rFont val="Segoe UI"/>
        <family val="2"/>
      </rPr>
      <t xml:space="preserve"> Para conocer más sobre la normativa y criterios para la implementación de la actividad de tratamiento y de los PGIRS, diríjase a la página web del Ministerio de Vivienda, Ciudad y Territorio https://www.minvivienda.gov.co/viceministerio-de-agua-y-saneamiento-basico 
</t>
    </r>
    <r>
      <rPr>
        <b/>
        <sz val="10"/>
        <color theme="1"/>
        <rFont val="Segoe UI"/>
        <family val="2"/>
      </rPr>
      <t>2)</t>
    </r>
    <r>
      <rPr>
        <sz val="10"/>
        <color theme="1"/>
        <rFont val="Segoe UI"/>
        <family val="2"/>
      </rPr>
      <t xml:space="preserve"> El análisis presentado a continuación debe interpretarse como un abrebocas para la planeación y estructuración de proyectos de tratamiento de residuos sólidos. 
</t>
    </r>
    <r>
      <rPr>
        <b/>
        <sz val="10"/>
        <color theme="1"/>
        <rFont val="Segoe UI"/>
        <family val="2"/>
      </rPr>
      <t>3)</t>
    </r>
    <r>
      <rPr>
        <sz val="10"/>
        <color theme="1"/>
        <rFont val="Segoe UI"/>
        <family val="2"/>
      </rPr>
      <t xml:space="preserve"> Los cálculos de costos, desviación de residuos, reducción de emisiones y demás son realizados con base en información de referencia que deberá revisarse en caso de que se decida avanzar con el proyecto.
</t>
    </r>
    <r>
      <rPr>
        <b/>
        <sz val="10"/>
        <color theme="1"/>
        <rFont val="Segoe UI"/>
        <family val="2"/>
      </rPr>
      <t>4)</t>
    </r>
    <r>
      <rPr>
        <sz val="10"/>
        <color theme="1"/>
        <rFont val="Segoe UI"/>
        <family val="2"/>
      </rPr>
      <t xml:space="preserve"> Inicialmente se presentan los aspectos del mercado a atender así como información general del proyecto. Luego se presenta el escenario identificado para el municipio donde se planea levantar la infraestructura del proyecto y la favorabilidad de desarrollar proyectos de tratamiento en su jurisdicción. Finalmente se presentan las tres (3) tecnologías evaluadas como más adecuadas para el proyecto analizado así como una estimación de los costos incurridos en su implementación, la cantidad de residuos desviados de la disposición final en rellenos sanitarios y el porcentaje de reducción de Gases de Efecto Invernadero logrado.</t>
    </r>
    <r>
      <rPr>
        <b/>
        <sz val="10"/>
        <color theme="1"/>
        <rFont val="Segoe UI"/>
        <family val="2"/>
      </rPr>
      <t xml:space="preserve">
5)</t>
    </r>
    <r>
      <rPr>
        <sz val="10"/>
        <color theme="1"/>
        <rFont val="Segoe UI"/>
        <family val="2"/>
      </rPr>
      <t xml:space="preserve"> Exportación de los resultados en formato PDF.</t>
    </r>
  </si>
  <si>
    <t>DATOS DE ENTRADA</t>
  </si>
  <si>
    <t>Obligatoriedad datos</t>
  </si>
  <si>
    <r>
      <rPr>
        <b/>
        <sz val="10"/>
        <color theme="1"/>
        <rFont val="Segoe UI"/>
        <family val="2"/>
      </rPr>
      <t xml:space="preserve">1) </t>
    </r>
    <r>
      <rPr>
        <sz val="10"/>
        <color theme="1"/>
        <rFont val="Segoe UI"/>
        <family val="2"/>
      </rPr>
      <t xml:space="preserve">En esta pestaña, el usuario del modelo deberá ingresar la información solicitada por el modelo para identificar la favorabilidad de implementar un sistema de tratamiento de residuos sólidos. 
</t>
    </r>
    <r>
      <rPr>
        <b/>
        <sz val="10"/>
        <color theme="1"/>
        <rFont val="Segoe UI"/>
        <family val="2"/>
      </rPr>
      <t xml:space="preserve">2) </t>
    </r>
    <r>
      <rPr>
        <sz val="10"/>
        <color theme="1"/>
        <rFont val="Segoe UI"/>
        <family val="2"/>
      </rPr>
      <t xml:space="preserve">Si se desea modelar un proyecto regional (donde se traten los residuos sólidos de dos o más municipios), se deberá seleccionar un </t>
    </r>
    <r>
      <rPr>
        <i/>
        <sz val="10"/>
        <color theme="1"/>
        <rFont val="Segoe UI"/>
        <family val="2"/>
      </rPr>
      <t xml:space="preserve">municipio principal </t>
    </r>
    <r>
      <rPr>
        <sz val="10"/>
        <color theme="1"/>
        <rFont val="Segoe UI"/>
        <family val="2"/>
      </rPr>
      <t xml:space="preserve">y serán los datos de este municipio los ingresados en las diferentes secciones, a menos que el modelo indique lo contrario. Este debe ser seleccionado en función a la cantidad de residuos generados, por ser el lugar donde se construirá la infraestructura del proyecto o por ser el municipio clave en los aspectos administrativos y gerenciales del proyecto. </t>
    </r>
    <r>
      <rPr>
        <sz val="10"/>
        <rFont val="Segoe UI"/>
        <family val="2"/>
      </rPr>
      <t>En el caso de un proyecto local la información a ingresar es la del municipio evaluado.</t>
    </r>
    <r>
      <rPr>
        <sz val="10"/>
        <color theme="1"/>
        <rFont val="Segoe UI"/>
        <family val="2"/>
      </rPr>
      <t xml:space="preserve">
</t>
    </r>
    <r>
      <rPr>
        <b/>
        <sz val="10"/>
        <color theme="1"/>
        <rFont val="Segoe UI"/>
        <family val="2"/>
      </rPr>
      <t xml:space="preserve">3) </t>
    </r>
    <r>
      <rPr>
        <sz val="10"/>
        <color theme="1"/>
        <rFont val="Segoe UI"/>
        <family val="2"/>
      </rPr>
      <t xml:space="preserve">La información solicitada se divide en las siguientes cuatro (4) categorías:
    </t>
    </r>
    <r>
      <rPr>
        <b/>
        <sz val="10"/>
        <color theme="1"/>
        <rFont val="Segoe UI"/>
        <family val="2"/>
      </rPr>
      <t xml:space="preserve">Información general: </t>
    </r>
    <r>
      <rPr>
        <sz val="10"/>
        <color theme="1"/>
        <rFont val="Segoe UI"/>
        <family val="2"/>
      </rPr>
      <t xml:space="preserve">Datos para identificar el mercado a atender por el sistema de tratamiento de residuos y otros datos del proyecto evaluado.
    </t>
    </r>
    <r>
      <rPr>
        <b/>
        <sz val="10"/>
        <color theme="1"/>
        <rFont val="Segoe UI"/>
        <family val="2"/>
      </rPr>
      <t xml:space="preserve">Capacidad administrativa: </t>
    </r>
    <r>
      <rPr>
        <sz val="10"/>
        <color theme="1"/>
        <rFont val="Segoe UI"/>
        <family val="2"/>
      </rPr>
      <t>Indicadores relacionados a la robuztes institucional del municipio (o municipio principal).</t>
    </r>
    <r>
      <rPr>
        <b/>
        <sz val="10"/>
        <color theme="1"/>
        <rFont val="Segoe UI"/>
        <family val="2"/>
      </rPr>
      <t xml:space="preserve">
    Capacidad técnica: </t>
    </r>
    <r>
      <rPr>
        <sz val="10"/>
        <color theme="1"/>
        <rFont val="Segoe UI"/>
        <family val="2"/>
      </rPr>
      <t>Indicadores relacionados al estado de la separación en la fuente, la recolección y transporte de residuos, la disposición final y el uso del suelo en el municipio (o municipio principal).</t>
    </r>
    <r>
      <rPr>
        <b/>
        <sz val="10"/>
        <color theme="1"/>
        <rFont val="Segoe UI"/>
        <family val="2"/>
      </rPr>
      <t xml:space="preserve">
    Capacidad económica: </t>
    </r>
    <r>
      <rPr>
        <sz val="10"/>
        <color theme="1"/>
        <rFont val="Segoe UI"/>
        <family val="2"/>
      </rPr>
      <t>Indicadores relacionados con la disponibilidad de recursos para el desarrollo del proyecto en el municipio (o municipio principal).</t>
    </r>
    <r>
      <rPr>
        <b/>
        <sz val="10"/>
        <color theme="1"/>
        <rFont val="Segoe UI"/>
        <family val="2"/>
      </rPr>
      <t xml:space="preserve">
4) </t>
    </r>
    <r>
      <rPr>
        <sz val="10"/>
        <color theme="1"/>
        <rFont val="Segoe UI"/>
        <family val="2"/>
      </rPr>
      <t xml:space="preserve">Algunas casillas incluyen una breve descripción aclaratoria del alcance de la información solicitada, así como dónde puede ser encontrada y la obligatoriedad de su diligenciamiento para claridad del usuario. 
</t>
    </r>
    <r>
      <rPr>
        <b/>
        <sz val="10"/>
        <color theme="1"/>
        <rFont val="Segoe UI"/>
        <family val="2"/>
      </rPr>
      <t xml:space="preserve">Aquellos datos de entrada con carácter OPCIONAL que no sean ingresados por el usuario serán estimados por el modelo. </t>
    </r>
  </si>
  <si>
    <t>Información General</t>
  </si>
  <si>
    <t>Información</t>
  </si>
  <si>
    <t>Valor</t>
  </si>
  <si>
    <t>Año de inicio de operaciones</t>
  </si>
  <si>
    <t>Proyecto Regional</t>
  </si>
  <si>
    <t>Si</t>
  </si>
  <si>
    <t>Población beneficiada</t>
  </si>
  <si>
    <t>revisar en donde se toma esta informacion</t>
  </si>
  <si>
    <t>Si, puede que el usuario no lo ingrese pero la herramienta lo calcula</t>
  </si>
  <si>
    <t>Vida Útil del proyecto (años)</t>
  </si>
  <si>
    <t>Generación de residuos per cápita (kg-habitante-día)</t>
  </si>
  <si>
    <t>Si, si el usuario no lo ingresa, la herramienta usa como referencia 0,76 kg-hab-día</t>
  </si>
  <si>
    <t>Porcentaje de residuos orgánicos</t>
  </si>
  <si>
    <t>Tratamiento de residuos orgánicos provenientes de plazas de mercado y centrales de abasto no incluidos anteriormente</t>
  </si>
  <si>
    <t>No</t>
  </si>
  <si>
    <t>Cantidad (ton/año)</t>
  </si>
  <si>
    <t>Tratamiento de residuos orgánicos provenientes de las actividades de poda de árboles y corte de césped no incluidos anteriormente</t>
  </si>
  <si>
    <t>Condicional para desplegar analisis en resultados</t>
  </si>
  <si>
    <t>Municipio principal</t>
  </si>
  <si>
    <t>Si el proyecto es regional, haga click aquí para ingresar los demás municipios atendidos</t>
  </si>
  <si>
    <t>Capacidad administrativa</t>
  </si>
  <si>
    <t>Indicador</t>
  </si>
  <si>
    <t>Medición de Desempeño Municipal</t>
  </si>
  <si>
    <t>Satisfactorio</t>
  </si>
  <si>
    <t>Municipio afectado por el conflicto armado</t>
  </si>
  <si>
    <t>Categoría Municipal (Ley 617 de 2000)</t>
  </si>
  <si>
    <t>Cuarta</t>
  </si>
  <si>
    <t>Existencia de PGIRS actualizado en el municipio principal</t>
  </si>
  <si>
    <t>Capacidad Técnica</t>
  </si>
  <si>
    <t>Separación en la fuente</t>
  </si>
  <si>
    <t>¿Existen rutas selectivas de residuos aprovechables?</t>
  </si>
  <si>
    <t>¿Existe separación de los residuos orgánicos en la fuente?</t>
  </si>
  <si>
    <t>¿Existe separación de los residuos inorgánicos en la fuente?</t>
  </si>
  <si>
    <t>Línea base de las actividades de poda de árboles y coste de césped está actualizada</t>
  </si>
  <si>
    <t>Recolección y transporte</t>
  </si>
  <si>
    <t>Cobertura en la recolección y transporte de residuos en el área urbana (%)</t>
  </si>
  <si>
    <t>Superior al 90%</t>
  </si>
  <si>
    <t>Cobertura en la recolección y transporte de residuos en el área rural (%)</t>
  </si>
  <si>
    <t>Entre el 50% y el 75%</t>
  </si>
  <si>
    <t>Distancia a sitio de disposición final desde el centroide del municipio principal (km)</t>
  </si>
  <si>
    <t>Distancia a sitio de disposición final desde el centroide del municipio principal</t>
  </si>
  <si>
    <t>Estado de las vías hasta el sitio de disposición final</t>
  </si>
  <si>
    <t>Tramo mayoritariamente despavimentado, fácil acceso</t>
  </si>
  <si>
    <t>Tratamiento y disposición final</t>
  </si>
  <si>
    <t>Tipo de sitio de disposición final</t>
  </si>
  <si>
    <t>Relleno Sanitario</t>
  </si>
  <si>
    <t>El sitio de disposición final, ¿es regional?</t>
  </si>
  <si>
    <t>Años de operación del sitio de disposición final</t>
  </si>
  <si>
    <t>Más de 20 años</t>
  </si>
  <si>
    <t>Vida útil del sitio de disposición final</t>
  </si>
  <si>
    <t xml:space="preserve">Entre 5 y 10 años </t>
  </si>
  <si>
    <t>El sitio de disposición final, ¿cuenta con sistema de extracción y aprovechamiento de biogás?</t>
  </si>
  <si>
    <t>No cuenta con sistema de extracción del biogás</t>
  </si>
  <si>
    <t>Uso de suelo</t>
  </si>
  <si>
    <t>Existencia de polígonos para la edificación de infraestructura del servicio público de aseo en el instrumento de planeación territorial (EOT, PBOT, POT)</t>
  </si>
  <si>
    <t>Existencia de áreas ya impactadas por las actividades de disposición final y transferencia</t>
  </si>
  <si>
    <t>Existencia de suelos urbanos con actividades definidas como industriales de alto impacto</t>
  </si>
  <si>
    <t>Existencia de suelos de expansión y rurales sin restricciones ambientales y debidamente recogidas en la cartografía oficial</t>
  </si>
  <si>
    <t>¿La infraestructura de tratamiento va a ubicarse en el mismo sitio del actual relleno sanitario?</t>
  </si>
  <si>
    <t>Distancia a sitio de tratamiento desde el centroide del municipio principal (km)</t>
  </si>
  <si>
    <t>Capacidad económica</t>
  </si>
  <si>
    <t>¿Es viable el programa de aprovechamiento conforme lo establecido en el PGIRS del municipio principal?</t>
  </si>
  <si>
    <t>Recursos del Formulario Único Territorial (FUT) destinados por la entidad territorial para financiar el tratamiento de residuos sólidos</t>
  </si>
  <si>
    <t>Índice de pobreza multidimensional</t>
  </si>
  <si>
    <t>Entre el 10% y el 25%</t>
  </si>
  <si>
    <t>Eficiencia en el recaudo</t>
  </si>
  <si>
    <t>¿Requiere adquirir el predio para el levantamiento de la infraestructura?</t>
  </si>
  <si>
    <t>Recursos estimados por tarifa del servicio público de aseo para el tratamiento de residuos (COP/ton)</t>
  </si>
  <si>
    <t>Tasa de Cambio 
Dólares americanos (USD) a Pesos Colombianos (COP)</t>
  </si>
  <si>
    <t>N°</t>
  </si>
  <si>
    <t>Municipios atendidos proyecto regional</t>
  </si>
  <si>
    <t>Huila - acevedo</t>
  </si>
  <si>
    <t>huila - elías</t>
  </si>
  <si>
    <t>Huila - Isnos</t>
  </si>
  <si>
    <t>Huila - Palestina</t>
  </si>
  <si>
    <t>Huila - Oporapa</t>
  </si>
  <si>
    <t>Huila - Saladoblanco</t>
  </si>
  <si>
    <t>Huila - San Agustín</t>
  </si>
  <si>
    <t>Huila - Timaná</t>
  </si>
  <si>
    <t>ANALISIS CONSOLIDADO DE RESULTADOS PARA LA TOMA DE DECISIONES</t>
  </si>
  <si>
    <t>ASPECTOS DEL MERCADO A ATENDER</t>
  </si>
  <si>
    <t>Aquí se presenta el tamaño del proyecto a implementar en función de su población atendida y de la cantidad de residuos sólidos a la que puede dar tratamiento.</t>
  </si>
  <si>
    <t>Variable</t>
  </si>
  <si>
    <t>Descripción</t>
  </si>
  <si>
    <t>Resultado</t>
  </si>
  <si>
    <t>Tipo de proyecto</t>
  </si>
  <si>
    <t>Indica si el proyecto atiende a un municipio (Local) o a varios (Regional)</t>
  </si>
  <si>
    <t>Cantidad de habitantes beneficiados con la ejecución del proyecto.</t>
  </si>
  <si>
    <t>Población beneficiada a futuro</t>
  </si>
  <si>
    <t>Cantidad de habitantes beneficiados con la ejecución del proyecto al inicio de la operación</t>
  </si>
  <si>
    <t>Residuos sólidos domiciliarios (ton/año)</t>
  </si>
  <si>
    <t>Cantidad de residuos generados por los habitantes a atender, diferentes de aquellos generados en plazas de mercado, centrales de abasto o aquellos provenientes de la poda de árboles y corte de césped. Expresado en toneladas anuales.</t>
  </si>
  <si>
    <t>Residuos sólidos  orgánicos (ton/año)</t>
  </si>
  <si>
    <t>Fracción orgánica de los residuos sólidos domiciliarios proveniente principalmente de residuos de alimentos, residuos vegetales. Expresado en toneladas anuales.</t>
  </si>
  <si>
    <t>Municipio seleccionado en función a la cantidad de residuos generados, por ser el lugar donde se construirá la infraestructura del proyecto o por ser el municipio clave en los aspectos administrativos y gerenciales del proyecto. y utilizado como referente para la entrada de datos del modelo.</t>
  </si>
  <si>
    <t>IDENTIFICACIÓN DEL ESCENARIO DE FACTIBILIDAD</t>
  </si>
  <si>
    <t>Aquí se presenta el escenario para la implementación de una o varias tecnologías de tratamiento de residuos sólidos en el que se encuentra el municipio en donde se pretende construir el proyecto de conformidad con la información suministrada. Cada escenario indica un nivel de favorabilidad para el desarrollo de proyectos de tratamiento de residuos sólidos, tal como se presenta en la siguiente tabla.</t>
  </si>
  <si>
    <t>Escenario</t>
  </si>
  <si>
    <t>Nivel de favorabilidad</t>
  </si>
  <si>
    <t>Muy alto</t>
  </si>
  <si>
    <t>Alto</t>
  </si>
  <si>
    <t>Medio</t>
  </si>
  <si>
    <t>Moderado</t>
  </si>
  <si>
    <t>Bajo</t>
  </si>
  <si>
    <t>Muy bajo</t>
  </si>
  <si>
    <t>Aspecto</t>
  </si>
  <si>
    <t>Capacidad Administrativa</t>
  </si>
  <si>
    <t>Capacidad Económica</t>
  </si>
  <si>
    <t>¿ES RECOMENDABLE DESARROLLAR UN PROYECTO DE TRATAMIENTO DE RESIDUOS SÓLIDOS?</t>
  </si>
  <si>
    <t>0</t>
  </si>
  <si>
    <t>ANÁLISIS DE TRATAMIENTO DE RESÍDUOS ORGANICOS PROVENIENTES DE LAS ACTIVIDADES DE PODA Y CORTE DE CESPED, Y DE PLAZAS DE MERCADO</t>
  </si>
  <si>
    <t>Compostaje de residuos organicos no contaminados</t>
  </si>
  <si>
    <t>Compost Comercializable</t>
  </si>
  <si>
    <t>Residuos sólidos provenientes de la actividad de poda y corte, y de plazas de mercado (ton/año)</t>
  </si>
  <si>
    <t>Cantidad de residuos generados en plazas de mercado, centrales de abasto o aquellos provenientes de la poda de árboles y corte de césped. Expresado en toneladas anuales.</t>
  </si>
  <si>
    <t>Opción de Tratamiento</t>
  </si>
  <si>
    <t>Breve descripción de la tecnología.</t>
  </si>
  <si>
    <t>Escala y capacidad óptima (ton/año)</t>
  </si>
  <si>
    <t>Corresponde con la cantidad típica de residuos a tratar a través del proyecto de tratamiento.</t>
  </si>
  <si>
    <t>Complejidad</t>
  </si>
  <si>
    <t>Indica el grado de dificultad de operar una tecnología. Depende del nivel de preparación técnica requerido por el personal, los requerimientos de funcionamiento y de monitoreo y laboratorio de una tecnología.</t>
  </si>
  <si>
    <t>Tipo de residuos tratados</t>
  </si>
  <si>
    <t>Indica si la tecnología es apta para residuos mixtos, orgánicos, inorgánicos, etc.</t>
  </si>
  <si>
    <t>Salidas</t>
  </si>
  <si>
    <t>Indica los subproductos de cada tecnología y si estos requieren una gestión especial posteriormente.</t>
  </si>
  <si>
    <t>Impacto ambiental</t>
  </si>
  <si>
    <t>Refiere a las afectaciones en las matrices ambientales (suelo, atmosfera, agua, biota) que pueden ocasionarse de manera directa e indirecta por el desarrollo del proyecto y que deben considerarse en el momento de evaluar su implementación.</t>
  </si>
  <si>
    <t>Desviación de residuos (ton/año)</t>
  </si>
  <si>
    <t xml:space="preserve">Corresponde a la cantidad de residuos que pueden desviarse de su disposición final en rellenos sanitarios con la implementación de la tecnología. </t>
  </si>
  <si>
    <t>% Reducción de GEI en comparación con su disposición final en relleno sanitario</t>
  </si>
  <si>
    <t>Indica el potencial de emisiones de Gases de Efecto Invernadero (GEI) evitadas por la implementación de la tecnología en comparación con su disposición final en rellenos sanitarios.</t>
  </si>
  <si>
    <t>Municipios</t>
  </si>
  <si>
    <t>Categoría de mercado</t>
  </si>
  <si>
    <t>Población año de inicio de operaciones</t>
  </si>
  <si>
    <t>Mercado a atender</t>
  </si>
  <si>
    <t>AÑO INICIO</t>
  </si>
  <si>
    <t>AÑO FIN</t>
  </si>
  <si>
    <t>Población (habitantes):</t>
  </si>
  <si>
    <t>Población (habitantes) en operación:</t>
  </si>
  <si>
    <t>Toneladas de residuos sólidos por año (sin residuos de poda y corte, ni de plazas de mercado)</t>
  </si>
  <si>
    <t>Toneladas de residuos sólidos orgánicos por año  (sin residuos de poda y corte, ni de plazas de mercado)</t>
  </si>
  <si>
    <t>Toneladas de residuos sólidos orgánicos provenientes  de poda y corte, y de plazas de mercado por año</t>
  </si>
  <si>
    <t>Toneladas de residuos sólidos por año (con residuos de poda y corte, y de plazas de mercado)</t>
  </si>
  <si>
    <t>Vida útil del proyecto</t>
  </si>
  <si>
    <t>Selección Escenario</t>
  </si>
  <si>
    <t>Interpretación</t>
  </si>
  <si>
    <t>Viabilidad Tratamiento</t>
  </si>
  <si>
    <t>Medidas a implementar</t>
  </si>
  <si>
    <t>TRATAMIENTO DE PODA, CORTE DE CESPED Y PLAZAS DE MERCADO</t>
  </si>
  <si>
    <t>Valoración</t>
  </si>
  <si>
    <t>Mejor opción</t>
  </si>
  <si>
    <t>Evaluación de tecnologías</t>
  </si>
  <si>
    <t>Cumplimiento requerimientos (%)</t>
  </si>
  <si>
    <t>Costos de inversión (COP)</t>
  </si>
  <si>
    <t>Costos de operación (COP) (a lo largo de la vida útil)</t>
  </si>
  <si>
    <t>Costos totales (COP) (a lo largo de la vida útil)</t>
  </si>
  <si>
    <t>Alternativa más económica</t>
  </si>
  <si>
    <t>Ingresos por tarifa (COP) (a lo largo de la vida útil)</t>
  </si>
  <si>
    <t>Ingresos por comercialización (COP) (vida útil)</t>
  </si>
  <si>
    <t>Ingresos totales (COP) (vida útil)</t>
  </si>
  <si>
    <t>Relación costo beneficio</t>
  </si>
  <si>
    <t>Potencial de desvío de residuos a relleno sanitario (tpa) - límite inferior / Jerarquía resultados</t>
  </si>
  <si>
    <t>Potencial de desvío de residuos a relleno sanitario (tpa) - límite superior / Jerarquía resultados</t>
  </si>
  <si>
    <t>Potencial de reducción de emisión de GEI</t>
  </si>
  <si>
    <t>Tecnología más apropiada</t>
  </si>
  <si>
    <t>Tecnologías recomendadas</t>
  </si>
  <si>
    <t>Costos de inversión (CAPEX)</t>
  </si>
  <si>
    <t>Costos de operación (OPEX)</t>
  </si>
  <si>
    <t>Ingresos</t>
  </si>
  <si>
    <t>Fila</t>
  </si>
  <si>
    <t>Ingresos por tarifa (COP) (Promedio Anual)</t>
  </si>
  <si>
    <t>Ingresos por comercialización (COP) (Promedio Anual)</t>
  </si>
  <si>
    <t>Ingresos totales</t>
  </si>
  <si>
    <t>Condicional para listas de entrada de datos</t>
  </si>
  <si>
    <t>Ponderación</t>
  </si>
  <si>
    <t>Peso ponderación</t>
  </si>
  <si>
    <t>Alta</t>
  </si>
  <si>
    <t>&gt;=</t>
  </si>
  <si>
    <t>Media</t>
  </si>
  <si>
    <t>4&lt;n&lt;8</t>
  </si>
  <si>
    <t>Baja</t>
  </si>
  <si>
    <t>&lt;</t>
  </si>
  <si>
    <t>Municipio PDET o ZOMAC</t>
  </si>
  <si>
    <t>Existencia de PGIRS actualizado</t>
  </si>
  <si>
    <t>Sexta</t>
  </si>
  <si>
    <t>Crítico</t>
  </si>
  <si>
    <t>Quinta</t>
  </si>
  <si>
    <t>Tercera</t>
  </si>
  <si>
    <t>Sobresaliente</t>
  </si>
  <si>
    <t>Segunda</t>
  </si>
  <si>
    <t>Primera</t>
  </si>
  <si>
    <t>Especial</t>
  </si>
  <si>
    <r>
      <t xml:space="preserve">Capacidad Técnica - </t>
    </r>
    <r>
      <rPr>
        <b/>
        <i/>
        <sz val="16"/>
        <color theme="1"/>
        <rFont val="Calibri"/>
        <family val="2"/>
        <scheme val="minor"/>
      </rPr>
      <t>Separación en la fuente</t>
    </r>
  </si>
  <si>
    <t>¿Separan los residuos orgánicos?</t>
  </si>
  <si>
    <t>Línea base PGIRS actualizada</t>
  </si>
  <si>
    <r>
      <t xml:space="preserve">Capacidad Técnica - </t>
    </r>
    <r>
      <rPr>
        <b/>
        <i/>
        <sz val="16"/>
        <color theme="1"/>
        <rFont val="Calibri"/>
        <family val="2"/>
        <scheme val="minor"/>
      </rPr>
      <t>Recolección y Transporte</t>
    </r>
  </si>
  <si>
    <t>Distancia a sitio de disposición final</t>
  </si>
  <si>
    <t>Estado de las vías hasta el sitio de disposición final más cercano o utilizado actualmente</t>
  </si>
  <si>
    <t>Cobertura en la recolección y transporte de residuos</t>
  </si>
  <si>
    <t>Menor al 50%</t>
  </si>
  <si>
    <t>Menor a 10 km</t>
  </si>
  <si>
    <t>Inexistentes o distintas a vía terreste</t>
  </si>
  <si>
    <t>Entre 10 km y 20 km</t>
  </si>
  <si>
    <t>Tramo mayoritariamente despavimentado, difícil acceso</t>
  </si>
  <si>
    <t>Entre el 75% y el 90%</t>
  </si>
  <si>
    <t>Entre 20 km y 50 km</t>
  </si>
  <si>
    <t>Entre 50 km y 100 km</t>
  </si>
  <si>
    <t>Tramo mayoritariamente pavimentado, difícil acceso</t>
  </si>
  <si>
    <t>Más de 100 km</t>
  </si>
  <si>
    <t>Tramo mayoritariamente pavimentado, fácil acceso</t>
  </si>
  <si>
    <r>
      <t xml:space="preserve">Capacidad Técnica - </t>
    </r>
    <r>
      <rPr>
        <b/>
        <i/>
        <sz val="16"/>
        <color theme="1"/>
        <rFont val="Calibri"/>
        <family val="2"/>
        <scheme val="minor"/>
      </rPr>
      <t>Tratamiento y Disposición final</t>
    </r>
  </si>
  <si>
    <t>Sistema de extracción y aprovechamiento de biogás en el sitio de disposición final</t>
  </si>
  <si>
    <t>Menos de 5 años</t>
  </si>
  <si>
    <t>Celda de contingencia</t>
  </si>
  <si>
    <t>Celda transitoria</t>
  </si>
  <si>
    <t>Entre 10 y 15 años</t>
  </si>
  <si>
    <t>Botadero a cielo abierto</t>
  </si>
  <si>
    <t>Entre 15 y 20 años</t>
  </si>
  <si>
    <t>Otro</t>
  </si>
  <si>
    <t>Cuenta con sistema de extracción más no de aprovechamiento</t>
  </si>
  <si>
    <t>Cuenta con sistema de extracción y de aprovechamiento</t>
  </si>
  <si>
    <r>
      <t xml:space="preserve">Capacidad Técnica - </t>
    </r>
    <r>
      <rPr>
        <b/>
        <i/>
        <sz val="16"/>
        <color theme="1"/>
        <rFont val="Calibri"/>
        <family val="2"/>
        <scheme val="minor"/>
      </rPr>
      <t>Uso de suelo</t>
    </r>
  </si>
  <si>
    <t>Existencia de polígonos para la edificación de infraestructura de tratamiento en el Plan de Ordenamiento Territorial municipal</t>
  </si>
  <si>
    <r>
      <t xml:space="preserve">Capacidad Técnica - </t>
    </r>
    <r>
      <rPr>
        <b/>
        <i/>
        <sz val="16"/>
        <color theme="1"/>
        <rFont val="Calibri"/>
        <family val="2"/>
        <scheme val="minor"/>
      </rPr>
      <t>Ponderación total</t>
    </r>
  </si>
  <si>
    <t>Tratamiento y Disposición Final</t>
  </si>
  <si>
    <t>Resultados indicador</t>
  </si>
  <si>
    <t>Existen proyectos de tratamiento de residuos sólidos viabilizados en el PGIRS</t>
  </si>
  <si>
    <t>Recursos del FUT destinados por la entidad territorial para financiar el tratamiento de residuos sólidos</t>
  </si>
  <si>
    <t>Índice de Pobreza Multidimensional</t>
  </si>
  <si>
    <t>Menor al 10%</t>
  </si>
  <si>
    <t>Entre el 25% y el 50%</t>
  </si>
  <si>
    <t>Superior al 75%</t>
  </si>
  <si>
    <t>Identificación Escenarios</t>
  </si>
  <si>
    <t>Muy alta</t>
  </si>
  <si>
    <t>Capacidad técnica</t>
  </si>
  <si>
    <t>Moderada</t>
  </si>
  <si>
    <t>Muy baja</t>
  </si>
  <si>
    <t>Tecnologías a Evaluar</t>
  </si>
  <si>
    <t>Tecnología según mercado atendido</t>
  </si>
  <si>
    <t>Potencial de desvío de residuos a relleno sanitario (tpa) - límite inferior</t>
  </si>
  <si>
    <t>Potencial de desvío de residuos a relleno sanitario (tpa) - límite superior</t>
  </si>
  <si>
    <t>Tecología más apropiada</t>
  </si>
  <si>
    <t>Mayor a 1</t>
  </si>
  <si>
    <t xml:space="preserve">Tecnología apropiada </t>
  </si>
  <si>
    <t>Igual a 1</t>
  </si>
  <si>
    <t>Tecnología no apropiada</t>
  </si>
  <si>
    <t>Menor a 1</t>
  </si>
  <si>
    <t>Otros</t>
  </si>
  <si>
    <t>Tecnología</t>
  </si>
  <si>
    <t>Recomendaciones específicas</t>
  </si>
  <si>
    <t>Recomendaciones específicas sobre GEI</t>
  </si>
  <si>
    <t>Potencial transformación (ton subproducto/ton residuos)</t>
  </si>
  <si>
    <t>Ingresos venta supproductos (USD) por unidad</t>
  </si>
  <si>
    <t>% de rechazo de residuos</t>
  </si>
  <si>
    <t>Recomendaciones adicionales</t>
  </si>
  <si>
    <t>Recomendaciones Humedad</t>
  </si>
  <si>
    <t>Definición del área requerida por tecnologia de tratamiento para residuos sólidos totales</t>
  </si>
  <si>
    <t>Definición del área requerida por tecnologia de tratamiento para residuos de poda corte de cesped y plazas de mercado</t>
  </si>
  <si>
    <t>Definición del volumen para tratamiento para residuos sólidos totales</t>
  </si>
  <si>
    <t>Definición del volumen para residuos de poda corte de cesped y plazas de mercado</t>
  </si>
  <si>
    <t>Definición del volumen para desviación de residuos órganicos</t>
  </si>
  <si>
    <t>% inferior</t>
  </si>
  <si>
    <t>% superior</t>
  </si>
  <si>
    <t>Compostaje en pilas con volteo manual</t>
  </si>
  <si>
    <t>Descomposición de la materia orgánica por microorganismos en condiciones aerobias, llevada a cabo en montículos de RSO bajo condiciones controladas y cuyos requerimientos de oxígeno son alcanzados mezclando las pilas frecuentemente.</t>
  </si>
  <si>
    <t xml:space="preserve">1000 - 200000 </t>
  </si>
  <si>
    <t>Baja-media</t>
  </si>
  <si>
    <t>Residuos Sólidos Orgánicos (RSO)</t>
  </si>
  <si>
    <t>Compost</t>
  </si>
  <si>
    <t>Olores
Ruido
Contaminación visual</t>
  </si>
  <si>
    <t xml:space="preserve"> Si usted desea hacer una estimación de toneladas equivalentes de CO2 puede remitirse a la herramienta de cálculo de gases de efecto invernadero (GEI) en el manejo de residuos sólidos (MRS) en este link https://www.bivica.org/file/view/id/1081 y al https://www.ifeu.de/en/project/tool-for-calculating-greenhouse-gases-ghg-in-solid-waste-management-swm/</t>
  </si>
  <si>
    <t>Compostaje en pilas con aireación forzada</t>
  </si>
  <si>
    <t xml:space="preserve">Proceso similar al compostaje en pilas con volteo manual, cuya diferencia radica en que el oxígeno requerido es inyectado mecánicamente. </t>
  </si>
  <si>
    <t>1000 - 200000</t>
  </si>
  <si>
    <t>Compostaje cerrado o "In vessel"</t>
  </si>
  <si>
    <t>Proceso de compostaje (degradación de la materia orgánica en condiciones aerobias) realizado en reactores cerrados en condiciones controladas.</t>
  </si>
  <si>
    <t>5000 - 300000</t>
  </si>
  <si>
    <t xml:space="preserve">Olores </t>
  </si>
  <si>
    <t>Tratamiento Mecánico Biológico</t>
  </si>
  <si>
    <t>Combinación de tratamientos físicos con tratamientos biológicos para el aprovechamiento de la fracción orgánica e inorgánica de los residuos sólidos. Esta tecnología es priorizada sobre las demás, dado los lineamientos del Plan Integral de Gestión de Cambio Climático Sectorial adoptado mediante la Resolución 431 de 2020.</t>
  </si>
  <si>
    <t>20000-500000</t>
  </si>
  <si>
    <t>Media-alta</t>
  </si>
  <si>
    <t>Residuos domiciliarios sin separar</t>
  </si>
  <si>
    <t>Compost y materiales reciclables</t>
  </si>
  <si>
    <t>RDF</t>
  </si>
  <si>
    <t>Materiales reciclables</t>
  </si>
  <si>
    <t>Digestión Anaerobia</t>
  </si>
  <si>
    <t>Descomposición de la materia orgánica por microorganismos en condiciones anaerobias, la cual genera biogás que puede ser aprovechado energéticamente. Este proceso es llevado a cabo en reactores cerrados en condiciones controladas.</t>
  </si>
  <si>
    <t>Biodigestato</t>
  </si>
  <si>
    <t>Energía eléctrica</t>
  </si>
  <si>
    <t>CDF y CRT utilizados por el modelo</t>
  </si>
  <si>
    <t>Fórmula</t>
  </si>
  <si>
    <t>Estimación Proyecto</t>
  </si>
  <si>
    <t>CDF + CRT</t>
  </si>
  <si>
    <t>Municipios CRA 720 de 2015</t>
  </si>
  <si>
    <t>TMB</t>
  </si>
  <si>
    <t>QRS</t>
  </si>
  <si>
    <t>D</t>
  </si>
  <si>
    <t>CDF=CDFVU+CDFPC ($ dic 2014)</t>
  </si>
  <si>
    <t>CDFVU ($ dic 2014)</t>
  </si>
  <si>
    <t>CDFPC ($ dic 2014)</t>
  </si>
  <si>
    <t>Actualización CDF($ año de inicio de operaciones)</t>
  </si>
  <si>
    <t>CRT</t>
  </si>
  <si>
    <t>Actualización CRT($ año de inicio de operaciones)</t>
  </si>
  <si>
    <t>Municipios CRA 853 de 2018</t>
  </si>
  <si>
    <t>QRT</t>
  </si>
  <si>
    <t>CRT ($ jul 2018)</t>
  </si>
  <si>
    <t>CDF=CDFVU+CDFPC ($ jul 2018)</t>
  </si>
  <si>
    <t>CDFVU ($ jul 2018)</t>
  </si>
  <si>
    <t>Columna</t>
  </si>
  <si>
    <t>Le inclui un condicional siendo que se salia del rango maximo</t>
  </si>
  <si>
    <t>CDFPC ($ jul 2018)</t>
  </si>
  <si>
    <t>Ton/mes</t>
  </si>
  <si>
    <t>km</t>
  </si>
  <si>
    <t>Revisar formula de actualización</t>
  </si>
  <si>
    <t>Requerimientos</t>
  </si>
  <si>
    <t>Cantidad requerimientos</t>
  </si>
  <si>
    <t>Escala mínima</t>
  </si>
  <si>
    <t>Escala máxima</t>
  </si>
  <si>
    <t>Unidad</t>
  </si>
  <si>
    <t>Contenido de humedad</t>
  </si>
  <si>
    <t>tpa</t>
  </si>
  <si>
    <t>%</t>
  </si>
  <si>
    <t>Baja - Media</t>
  </si>
  <si>
    <t>Media - Alta</t>
  </si>
  <si>
    <t>Costo según mercado atendido residuos sólidos sin incluir poda, corte de cesped ni plazas de mercado</t>
  </si>
  <si>
    <t>Costo según mercado atendido de residuos de poda, corte de cesped y plazas de mercado</t>
  </si>
  <si>
    <t>Escala (ton/mes)</t>
  </si>
  <si>
    <t>Funciones de costos</t>
  </si>
  <si>
    <t>Componente</t>
  </si>
  <si>
    <t>Valor (COP)/año</t>
  </si>
  <si>
    <t>COP/Ton/año</t>
  </si>
  <si>
    <t>a</t>
  </si>
  <si>
    <t>b</t>
  </si>
  <si>
    <t>Techo</t>
  </si>
  <si>
    <t>COP/ton</t>
  </si>
  <si>
    <t>Valor total</t>
  </si>
  <si>
    <t>Energia</t>
  </si>
  <si>
    <t>Combustible</t>
  </si>
  <si>
    <t xml:space="preserve">Agua </t>
  </si>
  <si>
    <t>Tratamiento RSO</t>
  </si>
  <si>
    <t xml:space="preserve">Monitoreo Ambiental </t>
  </si>
  <si>
    <t xml:space="preserve">Mantenimiento - Maquinaria y equipos </t>
  </si>
  <si>
    <t xml:space="preserve">Mantenimiento - Infraestructura </t>
  </si>
  <si>
    <t>Mano de Obra</t>
  </si>
  <si>
    <t>Valor de Operación Anual</t>
  </si>
  <si>
    <t>COP/Ton</t>
  </si>
  <si>
    <t>Disposición final de rechazos diferentes a residuos que van a otro tratamiento</t>
  </si>
  <si>
    <t>CALCULADO A PARTIR DE LOS COSTOS DE RECOLECCIÓN Y TRANSPORTE (CRT) Y DE DISPOSICIÓN FINAL (CDF) DE LAS METODOLOGÍAS TARIFARIAS</t>
  </si>
  <si>
    <t>Tratamiento RSO (compostaje aireación forzada)</t>
  </si>
  <si>
    <t>CALCULADO A PARTIR DEL COSTO DE LA TECNOLOGÍA INDICADA</t>
  </si>
  <si>
    <t>Energía (consumo)</t>
  </si>
  <si>
    <t>Monitoreo Ambiental</t>
  </si>
  <si>
    <t>Agua Residual</t>
  </si>
  <si>
    <t>Agua (consumo)</t>
  </si>
  <si>
    <t>Mantenimiento - Maquinaria y equipos</t>
  </si>
  <si>
    <t>Componentes</t>
  </si>
  <si>
    <t>Valor (COP)</t>
  </si>
  <si>
    <t xml:space="preserve">COP/Ton </t>
  </si>
  <si>
    <t>Pre-inversión</t>
  </si>
  <si>
    <t xml:space="preserve">   Estudios, Diseños </t>
  </si>
  <si>
    <t xml:space="preserve">   Permisos</t>
  </si>
  <si>
    <t>Infraestructura</t>
  </si>
  <si>
    <t>Maquinaria y Equipos (incluido el costo de instalación)</t>
  </si>
  <si>
    <t xml:space="preserve">   Trommel</t>
  </si>
  <si>
    <t xml:space="preserve">   Minicargador</t>
  </si>
  <si>
    <t xml:space="preserve">   Tractor</t>
  </si>
  <si>
    <t xml:space="preserve">   Retroexcavadora</t>
  </si>
  <si>
    <t xml:space="preserve">   Montacargas</t>
  </si>
  <si>
    <t xml:space="preserve">   Planta electrica</t>
  </si>
  <si>
    <t xml:space="preserve">   Compresor</t>
  </si>
  <si>
    <t xml:space="preserve">   Volqueta</t>
  </si>
  <si>
    <t>Total Costo de Inversión Inicial</t>
  </si>
  <si>
    <t xml:space="preserve"> $ -  </t>
  </si>
  <si>
    <t xml:space="preserve">   Báscula de pesaje</t>
  </si>
  <si>
    <t>Equipo de compostaje</t>
  </si>
  <si>
    <t xml:space="preserve">   Bandas transportadoras</t>
  </si>
  <si>
    <t xml:space="preserve">   Sistema de tamizaje (piso vivo, tolva viva, bandas y tromel)</t>
  </si>
  <si>
    <t xml:space="preserve">   Imán de remoción de metales</t>
  </si>
  <si>
    <t xml:space="preserve">   Sistema separación balística </t>
  </si>
  <si>
    <t xml:space="preserve">   Rompebolsas</t>
  </si>
  <si>
    <t>Sistema de compostaje (Compostaje en pilas con aireación forzada)</t>
  </si>
  <si>
    <t xml:space="preserve">   Digestor y Sistema de manejo de lodos</t>
  </si>
  <si>
    <t>Código DANE Atendido</t>
  </si>
  <si>
    <t>Departamento Atendido</t>
  </si>
  <si>
    <t>Municipio Atendido</t>
  </si>
  <si>
    <t>Departamento - Municipio</t>
  </si>
  <si>
    <t>POBLACIÓN 2019*</t>
  </si>
  <si>
    <t>Prom DF Ton/Día 2019 AJUSTADO</t>
  </si>
  <si>
    <t>Prom Ton/día RSO ESTIMADO</t>
  </si>
  <si>
    <t>Segmento</t>
  </si>
  <si>
    <t xml:space="preserve">Segmento de mercado </t>
  </si>
  <si>
    <t>Ton RSO/día</t>
  </si>
  <si>
    <t>Ton RSO/mes</t>
  </si>
  <si>
    <t>AMAZONAS</t>
  </si>
  <si>
    <t>LETICIA</t>
  </si>
  <si>
    <t>PUERTO NARIÑO</t>
  </si>
  <si>
    <t xml:space="preserve">EL ENCANTO  </t>
  </si>
  <si>
    <t xml:space="preserve">LA CHORRERA  </t>
  </si>
  <si>
    <t xml:space="preserve">LA PEDRERA  </t>
  </si>
  <si>
    <t xml:space="preserve">LA VICTORIA  </t>
  </si>
  <si>
    <t xml:space="preserve">MIRITI - PARANÁ  </t>
  </si>
  <si>
    <t xml:space="preserve">PUERTO ALEGRÍA  </t>
  </si>
  <si>
    <t xml:space="preserve">PUERTO ARICA  </t>
  </si>
  <si>
    <t xml:space="preserve">PUERTO SANTANDER  </t>
  </si>
  <si>
    <t xml:space="preserve">TARAPACÁ  </t>
  </si>
  <si>
    <t>ANTIOQUIA</t>
  </si>
  <si>
    <t>MEDELLÍN</t>
  </si>
  <si>
    <t>ABEJORRAL</t>
  </si>
  <si>
    <t>ABRIAQUÍ</t>
  </si>
  <si>
    <t>ALEJANDRÍA</t>
  </si>
  <si>
    <t>AMAGÁ</t>
  </si>
  <si>
    <t>AMALFI</t>
  </si>
  <si>
    <t>ANDES</t>
  </si>
  <si>
    <t>ANGELÓPOLIS</t>
  </si>
  <si>
    <t>ANGOSTURA</t>
  </si>
  <si>
    <t>ANORÍ</t>
  </si>
  <si>
    <t>SANTA FÉ DE ANTIOQUIA</t>
  </si>
  <si>
    <t>ANZÁ</t>
  </si>
  <si>
    <t>APARTADÓ</t>
  </si>
  <si>
    <t>ARBOLETES</t>
  </si>
  <si>
    <t>ARGELIA</t>
  </si>
  <si>
    <t>ARMENIA</t>
  </si>
  <si>
    <t>BARBOSA</t>
  </si>
  <si>
    <t>BELMIRA</t>
  </si>
  <si>
    <t>BELLO</t>
  </si>
  <si>
    <t>BETANIA</t>
  </si>
  <si>
    <t>BETULIA</t>
  </si>
  <si>
    <t>CIUDAD BOLÍVAR</t>
  </si>
  <si>
    <t>BRICEÑO</t>
  </si>
  <si>
    <t>BURITICÁ</t>
  </si>
  <si>
    <t>CÁCERES</t>
  </si>
  <si>
    <t>CAICEDO</t>
  </si>
  <si>
    <t>CALDAS</t>
  </si>
  <si>
    <t>CAMPAMENTO</t>
  </si>
  <si>
    <t>CAÑASGORDAS</t>
  </si>
  <si>
    <t>CARACOLÍ</t>
  </si>
  <si>
    <t>CARAMANTA</t>
  </si>
  <si>
    <t>CAREPA</t>
  </si>
  <si>
    <t>EL CARMEN DE VIBORAL</t>
  </si>
  <si>
    <t>CAROLINA</t>
  </si>
  <si>
    <t>CAUCASIA</t>
  </si>
  <si>
    <t>CHIGORODÓ</t>
  </si>
  <si>
    <t>CISNEROS</t>
  </si>
  <si>
    <t>COCORNÁ</t>
  </si>
  <si>
    <t>CONCEPCIÓN</t>
  </si>
  <si>
    <t>CONCORDIA</t>
  </si>
  <si>
    <t>COPACABANA</t>
  </si>
  <si>
    <t>DABEIBA</t>
  </si>
  <si>
    <t>DONMATÍAS</t>
  </si>
  <si>
    <t>EBÉJICO</t>
  </si>
  <si>
    <t>EL BAGRE</t>
  </si>
  <si>
    <t>ENTRERRÍOS</t>
  </si>
  <si>
    <t>ENVIGADO</t>
  </si>
  <si>
    <t>FREDONIA</t>
  </si>
  <si>
    <t>FRONTINO</t>
  </si>
  <si>
    <t>GIRALDO</t>
  </si>
  <si>
    <t>GIRARDOTA</t>
  </si>
  <si>
    <t>GÓMEZ PLATA</t>
  </si>
  <si>
    <t>GRANADA</t>
  </si>
  <si>
    <t>GUADALUPE</t>
  </si>
  <si>
    <t>GUARNE</t>
  </si>
  <si>
    <t>GUATAPÉ</t>
  </si>
  <si>
    <t>HELICONIA</t>
  </si>
  <si>
    <t>HISPANIA</t>
  </si>
  <si>
    <t>ITAGÜÍ</t>
  </si>
  <si>
    <t>ITUANGO</t>
  </si>
  <si>
    <t>JARDÍN</t>
  </si>
  <si>
    <t>JERICÓ</t>
  </si>
  <si>
    <t>LA CEJA</t>
  </si>
  <si>
    <t>LA ESTRELLA</t>
  </si>
  <si>
    <t>LA PINTADA</t>
  </si>
  <si>
    <t>LA UNIÓN</t>
  </si>
  <si>
    <t>LIBORINA</t>
  </si>
  <si>
    <t>MACEO</t>
  </si>
  <si>
    <t>MARINILLA</t>
  </si>
  <si>
    <t>MONTEBELLO</t>
  </si>
  <si>
    <t>MURINDÓ</t>
  </si>
  <si>
    <t>MUTATÁ</t>
  </si>
  <si>
    <t>NARIÑO</t>
  </si>
  <si>
    <t>NECOCLÍ</t>
  </si>
  <si>
    <t>NECHÍ</t>
  </si>
  <si>
    <t>OLAYA</t>
  </si>
  <si>
    <t>PEÑOL</t>
  </si>
  <si>
    <t>PEQUE</t>
  </si>
  <si>
    <t>PUEBLORRICO</t>
  </si>
  <si>
    <t>PUERTO BERRÍO</t>
  </si>
  <si>
    <t>PUERTO NARE</t>
  </si>
  <si>
    <t>PUERTO TRIUNFO</t>
  </si>
  <si>
    <t>REMEDIOS</t>
  </si>
  <si>
    <t>RETIRO</t>
  </si>
  <si>
    <t>RIONEGRO</t>
  </si>
  <si>
    <t>SABANALARGA</t>
  </si>
  <si>
    <t>SABANETA</t>
  </si>
  <si>
    <t>SALGAR</t>
  </si>
  <si>
    <t>SAN ANDRÉS DE CUERQUÍA</t>
  </si>
  <si>
    <t>SAN CARLOS</t>
  </si>
  <si>
    <t>SAN FRANCISCO</t>
  </si>
  <si>
    <t>SAN JERÓNIMO</t>
  </si>
  <si>
    <t>SAN JOSÉ DE LA MONTAÑA</t>
  </si>
  <si>
    <t>SAN JUAN DE URABÁ</t>
  </si>
  <si>
    <t>SAN LUIS</t>
  </si>
  <si>
    <t>SAN PEDRO DE LOS MILAGROS</t>
  </si>
  <si>
    <t>SAN PEDRO DE URABÁ</t>
  </si>
  <si>
    <t>SAN RAFAEL</t>
  </si>
  <si>
    <t>SAN ROQUE</t>
  </si>
  <si>
    <t>SAN VICENTE FERRER</t>
  </si>
  <si>
    <t>SANTA BÁRBARA</t>
  </si>
  <si>
    <t>SANTA ROSA DE OSOS</t>
  </si>
  <si>
    <t>SANTO DOMINGO</t>
  </si>
  <si>
    <t>EL SANTUARIO</t>
  </si>
  <si>
    <t>SEGOVIA</t>
  </si>
  <si>
    <t>SONSÓN</t>
  </si>
  <si>
    <t>SOPETRÁN</t>
  </si>
  <si>
    <t>TÁMESIS</t>
  </si>
  <si>
    <t>TARAZÁ</t>
  </si>
  <si>
    <t>TARSO</t>
  </si>
  <si>
    <t>TITIRIBÍ</t>
  </si>
  <si>
    <t>TOLEDO</t>
  </si>
  <si>
    <t>TURBO</t>
  </si>
  <si>
    <t>URAMITA</t>
  </si>
  <si>
    <t>URRAO</t>
  </si>
  <si>
    <t>VALDIVIA</t>
  </si>
  <si>
    <t>VALPARAÍSO</t>
  </si>
  <si>
    <t>VEGACHÍ</t>
  </si>
  <si>
    <t>VENECIA</t>
  </si>
  <si>
    <t>VIGÍA DEL FUERTE</t>
  </si>
  <si>
    <t>YALÍ</t>
  </si>
  <si>
    <t>YARUMAL</t>
  </si>
  <si>
    <t>YOLOMBÓ</t>
  </si>
  <si>
    <t>YONDÓ</t>
  </si>
  <si>
    <t>ZARAGOZA</t>
  </si>
  <si>
    <t>ARAUCA</t>
  </si>
  <si>
    <t>ARAUQUITA</t>
  </si>
  <si>
    <t>CRAVO NORTE</t>
  </si>
  <si>
    <t>FORTUL</t>
  </si>
  <si>
    <t>PUERTO RONDÓN</t>
  </si>
  <si>
    <t>SARAVENA</t>
  </si>
  <si>
    <t>TAME</t>
  </si>
  <si>
    <t>ARCHIPIÉLAGO DE SAN ANDRÉS, PROVIDENCIA Y
SANTA CATALINA</t>
  </si>
  <si>
    <t>SAN ANDRÉS</t>
  </si>
  <si>
    <t>PROVIDENCIA</t>
  </si>
  <si>
    <t>ATLÁNTICO</t>
  </si>
  <si>
    <t>BARRANQUILLA</t>
  </si>
  <si>
    <t>BARANOA</t>
  </si>
  <si>
    <t>CAMPO DE LA CRUZ</t>
  </si>
  <si>
    <t>CANDELARIA</t>
  </si>
  <si>
    <t>GALAPA</t>
  </si>
  <si>
    <t>JUAN DE ACOSTA</t>
  </si>
  <si>
    <t>LURUACO</t>
  </si>
  <si>
    <t>MALAMBO</t>
  </si>
  <si>
    <t>MANATÍ</t>
  </si>
  <si>
    <t>PALMAR DE VARELA</t>
  </si>
  <si>
    <t>PIOJÓ</t>
  </si>
  <si>
    <t>POLONUEVO</t>
  </si>
  <si>
    <t>PONEDERA</t>
  </si>
  <si>
    <t>PUERTO COLOMBIA</t>
  </si>
  <si>
    <t>REPELÓN</t>
  </si>
  <si>
    <t>SABANAGRANDE</t>
  </si>
  <si>
    <t>SANTA LUCÍA</t>
  </si>
  <si>
    <t>SANTO TOMÁS</t>
  </si>
  <si>
    <t>SOLEDAD</t>
  </si>
  <si>
    <t>SUAN</t>
  </si>
  <si>
    <t>TUBARÁ</t>
  </si>
  <si>
    <t>USIACURÍ</t>
  </si>
  <si>
    <t>BOGOTÁ, D.C.</t>
  </si>
  <si>
    <t>BOLÍVAR</t>
  </si>
  <si>
    <t>CARTAGENA DE INDIAS</t>
  </si>
  <si>
    <t>ACHÍ</t>
  </si>
  <si>
    <t>ALTOS DEL ROSARIO</t>
  </si>
  <si>
    <t>ARENAL</t>
  </si>
  <si>
    <t>ARJONA</t>
  </si>
  <si>
    <t>ARROYOHONDO</t>
  </si>
  <si>
    <t>BARRANCO DE LOBA</t>
  </si>
  <si>
    <t>CALAMAR</t>
  </si>
  <si>
    <t>CANTAGALLO</t>
  </si>
  <si>
    <t>CICUCO</t>
  </si>
  <si>
    <t>CÓRDOBA</t>
  </si>
  <si>
    <t>CLEMENCIA</t>
  </si>
  <si>
    <t>EL CARMEN DE BOLÍVAR</t>
  </si>
  <si>
    <t>EL GUAMO</t>
  </si>
  <si>
    <t>EL PEÑÓN</t>
  </si>
  <si>
    <t>HATILLO DE LOBA</t>
  </si>
  <si>
    <t>MAGANGUÉ</t>
  </si>
  <si>
    <t>MAHATES</t>
  </si>
  <si>
    <t>MARGARITA</t>
  </si>
  <si>
    <t>MARÍA LA BAJA</t>
  </si>
  <si>
    <t>MONTECRISTO</t>
  </si>
  <si>
    <t>SANTA CRUZ DE MOMPOX</t>
  </si>
  <si>
    <t>MORALES</t>
  </si>
  <si>
    <t>NOROSÍ</t>
  </si>
  <si>
    <t>PINILLOS</t>
  </si>
  <si>
    <t>REGIDOR</t>
  </si>
  <si>
    <t>RÍO VIEJO</t>
  </si>
  <si>
    <t>SAN CRISTÓBAL</t>
  </si>
  <si>
    <t>SAN ESTANISLAO</t>
  </si>
  <si>
    <t>SAN FERNANDO</t>
  </si>
  <si>
    <t>SAN JACINTO</t>
  </si>
  <si>
    <t>SAN JACINTO DEL CAUCA</t>
  </si>
  <si>
    <t>SAN JUAN NEPOMUCENO</t>
  </si>
  <si>
    <t>SAN MARTÍN DE LOBA</t>
  </si>
  <si>
    <t>SAN PABLO</t>
  </si>
  <si>
    <t>SANTA CATALINA</t>
  </si>
  <si>
    <t>SANTA ROSA</t>
  </si>
  <si>
    <t>SANTA ROSA DEL SUR</t>
  </si>
  <si>
    <t>SIMITÍ</t>
  </si>
  <si>
    <t>SOPLAVIENTO</t>
  </si>
  <si>
    <t>TALAIGUA NUEVO</t>
  </si>
  <si>
    <t>TIQUISIO</t>
  </si>
  <si>
    <t>TURBACO</t>
  </si>
  <si>
    <t>TURBANÁ</t>
  </si>
  <si>
    <t>VILLANUEVA</t>
  </si>
  <si>
    <t>ZAMBRANO</t>
  </si>
  <si>
    <t>BOYACÁ</t>
  </si>
  <si>
    <t>TUNJA</t>
  </si>
  <si>
    <t>ALMEIDA</t>
  </si>
  <si>
    <t>AQUITANIA</t>
  </si>
  <si>
    <t>ARCABUCO</t>
  </si>
  <si>
    <t>BELÉN</t>
  </si>
  <si>
    <t>BERBEO</t>
  </si>
  <si>
    <t>BETÉITIVA</t>
  </si>
  <si>
    <t>BOAVITA</t>
  </si>
  <si>
    <t>BUENAVISTA</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</si>
  <si>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</si>
  <si>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</si>
  <si>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</si>
  <si>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</si>
  <si>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</si>
  <si>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</si>
  <si>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</si>
  <si>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</si>
  <si>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</si>
  <si>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</si>
  <si>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</si>
  <si>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</si>
  <si>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</si>
  <si>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</si>
  <si>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</si>
  <si>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</si>
  <si>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</si>
  <si>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</si>
  <si>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</si>
  <si>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</si>
  <si>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</si>
  <si>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</si>
  <si>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</si>
  <si>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</si>
  <si>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</si>
  <si>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GÁMEZA</t>
  </si>
  <si>
    <t>GARAGOA</t>
  </si>
  <si>
    <t>GUACAMAYAS</t>
  </si>
  <si>
    <t>GUATEQUE</t>
  </si>
  <si>
    <t>GUAYATÁ</t>
  </si>
  <si>
    <t>GÜICÁN DE LA SIERRA</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</si>
  <si>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</si>
  <si>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</si>
  <si>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</si>
  <si>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</si>
  <si>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</si>
  <si>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</si>
  <si>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</si>
  <si>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</si>
  <si>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</si>
  <si>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</si>
  <si>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</si>
  <si>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</si>
  <si>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</si>
  <si>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</si>
  <si>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</si>
  <si>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</si>
  <si>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</si>
  <si>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</si>
  <si>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</si>
  <si>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</si>
  <si>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</si>
  <si>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</si>
  <si>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</si>
  <si>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</si>
  <si>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</si>
  <si>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</si>
  <si>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</si>
  <si>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</si>
  <si>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</si>
  <si>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</si>
  <si>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</si>
  <si>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</si>
  <si>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</si>
  <si>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</si>
  <si>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</si>
  <si>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</si>
  <si>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</si>
  <si>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</si>
  <si>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</si>
  <si>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</si>
  <si>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</si>
  <si>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</si>
  <si>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</si>
  <si>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</si>
  <si>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MARÍA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</si>
  <si>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</si>
  <si>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</si>
  <si>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</si>
  <si>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</si>
  <si>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</si>
  <si>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</si>
  <si>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</si>
  <si>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</si>
  <si>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</si>
  <si>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</si>
  <si>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</si>
  <si>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</si>
  <si>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</si>
  <si>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</si>
  <si>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</si>
  <si>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</si>
  <si>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</si>
  <si>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</si>
  <si>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</si>
  <si>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</si>
  <si>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</si>
  <si>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</si>
  <si>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</si>
  <si>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</si>
  <si>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</si>
  <si>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</si>
  <si>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</si>
  <si>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</si>
  <si>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</si>
  <si>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</si>
  <si>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ÚMBITA</t>
  </si>
  <si>
    <t>VENTAQUEMADA</t>
  </si>
  <si>
    <t>VIRACACHÁ</t>
  </si>
  <si>
    <t>ZETAQUIRA</t>
  </si>
  <si>
    <t>MANIZALES</t>
  </si>
  <si>
    <t>AGUADAS</t>
  </si>
  <si>
    <t>ANSERMA</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</si>
  <si>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</si>
  <si>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</si>
  <si>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</si>
  <si>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</si>
  <si>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</si>
  <si>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</si>
  <si>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</si>
  <si>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</si>
  <si>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</si>
  <si>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</si>
  <si>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</si>
  <si>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</si>
  <si>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</si>
  <si>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</si>
  <si>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</si>
  <si>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</si>
  <si>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</si>
  <si>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</si>
  <si>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</si>
  <si>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</si>
  <si>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</si>
  <si>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</si>
  <si>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</si>
  <si>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</si>
  <si>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CAQUETÁ</t>
  </si>
  <si>
    <t>FLORENCIA</t>
  </si>
  <si>
    <t>ALBANIA</t>
  </si>
  <si>
    <t>BELÉN DE LOS ANDAQUÍES</t>
  </si>
  <si>
    <t>CARTAGENA DEL CHAIRÁ</t>
  </si>
  <si>
    <t>CURILLO</t>
  </si>
  <si>
    <t>EL DONCELLO</t>
  </si>
  <si>
    <t>EL PAUJÍL</t>
  </si>
  <si>
    <t>LA MONTAÑITA</t>
  </si>
  <si>
    <t>MILÁN</t>
  </si>
  <si>
    <t>MORELIA</t>
  </si>
  <si>
    <t>PUERTO RICO</t>
  </si>
  <si>
    <t>SAN JOSÉ DEL FRAGUA</t>
  </si>
  <si>
    <t>SAN VICENTE DEL CAGUÁN</t>
  </si>
  <si>
    <t>SOLANO</t>
  </si>
  <si>
    <t>SOLITA</t>
  </si>
  <si>
    <t>CASANARE</t>
  </si>
  <si>
    <t>YOPAL</t>
  </si>
  <si>
    <t>AGUAZUL</t>
  </si>
  <si>
    <t>CHÁMEZA</t>
  </si>
  <si>
    <t>HATO COROZAL</t>
  </si>
  <si>
    <t>LA SALINA</t>
  </si>
  <si>
    <t>MANÍ</t>
  </si>
  <si>
    <t>MONTERREY</t>
  </si>
  <si>
    <t>NUNCHÍA</t>
  </si>
  <si>
    <t>OROCUÉ</t>
  </si>
  <si>
    <t>PAZ DE ARIPORO</t>
  </si>
  <si>
    <t>PORE</t>
  </si>
  <si>
    <t>RECETOR</t>
  </si>
  <si>
    <t>SÁCAMA</t>
  </si>
  <si>
    <t>SAN LUIS DE PALENQUE</t>
  </si>
  <si>
    <t>TÁMARA</t>
  </si>
  <si>
    <t>TAURAMENA</t>
  </si>
  <si>
    <t>TRINIDAD</t>
  </si>
  <si>
    <t>CAUCA</t>
  </si>
  <si>
    <t>POPAYÁN</t>
  </si>
  <si>
    <t>ALMAGUER</t>
  </si>
  <si>
    <t>BALBOA</t>
  </si>
  <si>
    <t>BUENOS AIRES</t>
  </si>
  <si>
    <t>CAJIBÍO</t>
  </si>
  <si>
    <t>CALDONO</t>
  </si>
  <si>
    <t>CALOTO</t>
  </si>
  <si>
    <t>CORINTO</t>
  </si>
  <si>
    <t>EL TAMBO</t>
  </si>
  <si>
    <t>GUACHENÉ</t>
  </si>
  <si>
    <t>GUAPI</t>
  </si>
  <si>
    <t>INZÁ</t>
  </si>
  <si>
    <t>JAMBALÓ</t>
  </si>
  <si>
    <t>LA SIERRA</t>
  </si>
  <si>
    <t>LA VEGA</t>
  </si>
  <si>
    <t>LÓPEZ DE MICAY</t>
  </si>
  <si>
    <t>MERCADERES</t>
  </si>
  <si>
    <t>MIRANDA</t>
  </si>
  <si>
    <t>PADILLA</t>
  </si>
  <si>
    <t>PATÍA</t>
  </si>
  <si>
    <t>PIAMONTE</t>
  </si>
  <si>
    <t>PIENDAMÓ - TUNÍA</t>
  </si>
  <si>
    <t>PUERTO TEJADA</t>
  </si>
  <si>
    <t>PURACÉ</t>
  </si>
  <si>
    <t>ROSAS</t>
  </si>
  <si>
    <t>SAN SEBASTIÁN</t>
  </si>
  <si>
    <t>SANTANDER DE QUILICHAO</t>
  </si>
  <si>
    <t>SILVIA</t>
  </si>
  <si>
    <t>SOTARÁ PAISPAMBA</t>
  </si>
  <si>
    <t>SUÁREZ</t>
  </si>
  <si>
    <t>SUCRE</t>
  </si>
  <si>
    <t>TIMBÍO</t>
  </si>
  <si>
    <t>TIMBIQUÍ</t>
  </si>
  <si>
    <t>TORIBÍO</t>
  </si>
  <si>
    <t>TOTORÓ</t>
  </si>
  <si>
    <t>VILLA RICA</t>
  </si>
  <si>
    <t>CESAR</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</si>
  <si>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</si>
  <si>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</si>
  <si>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</si>
  <si>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</si>
  <si>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</si>
  <si>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</si>
  <si>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</si>
  <si>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</si>
  <si>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</si>
  <si>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</si>
  <si>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</si>
  <si>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</si>
  <si>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</si>
  <si>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</si>
  <si>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</si>
  <si>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 BALCÓN DEL CESAR</t>
  </si>
  <si>
    <t>PAILITAS</t>
  </si>
  <si>
    <t>PELAYA</t>
  </si>
  <si>
    <t>PUEBLO BELLO</t>
  </si>
  <si>
    <t>RÍO DE ORO</t>
  </si>
  <si>
    <t>LA PAZ</t>
  </si>
  <si>
    <t>SAN ALBERTO</t>
  </si>
  <si>
    <t>SAN DIEGO</t>
  </si>
  <si>
    <t>SAN MARTÍN</t>
  </si>
  <si>
    <t>TAMALAMEQUE</t>
  </si>
  <si>
    <t>CHOCÓ</t>
  </si>
  <si>
    <t>QUIBDÓ</t>
  </si>
  <si>
    <t>ACANDÍ</t>
  </si>
  <si>
    <t>ALTO BAUDÓ</t>
  </si>
  <si>
    <t>ATRATO</t>
  </si>
  <si>
    <t>BAGADÓ</t>
  </si>
  <si>
    <t>BAHÍA SOLANO</t>
  </si>
  <si>
    <t>BAJO BAUDÓ</t>
  </si>
  <si>
    <t>BOJAYÁ</t>
  </si>
  <si>
    <t>EL CANTÓN DEL SAN PABLO</t>
  </si>
  <si>
    <t>CARMEN DEL DARIÉN</t>
  </si>
  <si>
    <t>CÉRTEGUI</t>
  </si>
  <si>
    <t>CONDOTO</t>
  </si>
  <si>
    <t>EL CARMEN DE ATRATO</t>
  </si>
  <si>
    <t>EL LITORAL DEL SAN JUAN</t>
  </si>
  <si>
    <t>ISTMINA</t>
  </si>
  <si>
    <t>JURADÓ</t>
  </si>
  <si>
    <t>LLORÓ</t>
  </si>
  <si>
    <t>MEDIO ATRATO</t>
  </si>
  <si>
    <t>MEDIO BAUDÓ</t>
  </si>
  <si>
    <t>MEDIO SAN JUAN</t>
  </si>
  <si>
    <t>NÓVITA</t>
  </si>
  <si>
    <t>NUQUÍ</t>
  </si>
  <si>
    <t>RÍO IRÓ</t>
  </si>
  <si>
    <t>RÍO QUITO</t>
  </si>
  <si>
    <t>SAN JOSÉ DEL PALMAR</t>
  </si>
  <si>
    <t>SIPÍ</t>
  </si>
  <si>
    <t>TADÓ</t>
  </si>
  <si>
    <t>UNGUÍA</t>
  </si>
  <si>
    <t>UNIÓN PANAMERICANA</t>
  </si>
  <si>
    <t>MONTERÍA</t>
  </si>
  <si>
    <t>AYAPEL</t>
  </si>
  <si>
    <t>CANALETE</t>
  </si>
  <si>
    <t>CERETÉ</t>
  </si>
  <si>
    <t>CHIMÁ</t>
  </si>
  <si>
    <t>CHINÚ</t>
  </si>
  <si>
    <t>CIÉNAGA DE ORO</t>
  </si>
  <si>
    <t>COTORRA</t>
  </si>
  <si>
    <t>LA APARTADA</t>
  </si>
  <si>
    <t>LORICA</t>
  </si>
  <si>
    <t>LOS CÓRDOBAS</t>
  </si>
  <si>
    <t>MOMIL</t>
  </si>
  <si>
    <t>MONTELÍBANO</t>
  </si>
  <si>
    <t>MOÑITOS</t>
  </si>
  <si>
    <t>PLANETA RICA</t>
  </si>
  <si>
    <t>PUEBLO NUEVO</t>
  </si>
  <si>
    <t>PUERTO ESCONDIDO</t>
  </si>
  <si>
    <t>PUERTO LIBERTADOR</t>
  </si>
  <si>
    <t>PURÍSIMA DE LA CONCEPCIÓN</t>
  </si>
  <si>
    <t>SAHAGÚN</t>
  </si>
  <si>
    <t>SAN ANDRÉS DE SOTAVENTO</t>
  </si>
  <si>
    <t>SAN ANTERO</t>
  </si>
  <si>
    <t>SAN BERNARDO DEL VIENTO</t>
  </si>
  <si>
    <t>SAN JOSÉ DE URÉ</t>
  </si>
  <si>
    <t>SAN PELAYO</t>
  </si>
  <si>
    <t>TIERRALTA</t>
  </si>
  <si>
    <t>TUCHÍN</t>
  </si>
  <si>
    <t>VALENCIA</t>
  </si>
  <si>
    <t>CUNDINAMARCA</t>
  </si>
  <si>
    <t>AGUA DE DIOS</t>
  </si>
  <si>
    <t>ALBÁN</t>
  </si>
  <si>
    <t>ANAPOIMA</t>
  </si>
  <si>
    <t>ANOLAIMA</t>
  </si>
  <si>
    <t>ARBELÁEZ</t>
  </si>
  <si>
    <t>BELTRÁN</t>
  </si>
  <si>
    <t>BITUIMA</t>
  </si>
  <si>
    <t>BOJACÁ</t>
  </si>
  <si>
    <t>CABRERA</t>
  </si>
  <si>
    <t>CACHIPAY</t>
  </si>
  <si>
    <t>CAJICÁ</t>
  </si>
  <si>
    <t>CAPARRAPÍ</t>
  </si>
  <si>
    <t>CÁQUEZA</t>
  </si>
  <si>
    <t>CARMEN DE CARUPA</t>
  </si>
  <si>
    <t>CHAGUANÍ</t>
  </si>
  <si>
    <t>CHÍA</t>
  </si>
  <si>
    <t>CHIPAQUE</t>
  </si>
  <si>
    <t>CHOACHÍ</t>
  </si>
  <si>
    <t>CHOCONTÁ</t>
  </si>
  <si>
    <t>COGUA</t>
  </si>
  <si>
    <t>COTA</t>
  </si>
  <si>
    <t>CUCUNUBÁ</t>
  </si>
  <si>
    <t>EL COLEGIO</t>
  </si>
  <si>
    <t>EL ROSAL</t>
  </si>
  <si>
    <t>FACATATIVÁ</t>
  </si>
  <si>
    <t>FÓMEQUE</t>
  </si>
  <si>
    <t>FOSCA</t>
  </si>
  <si>
    <t>FUNZA</t>
  </si>
  <si>
    <t>FÚQUENE</t>
  </si>
  <si>
    <t>FUSAGASUGÁ</t>
  </si>
  <si>
    <t>GACHALÁ</t>
  </si>
  <si>
    <t>GACHANCIPÁ</t>
  </si>
  <si>
    <t>GACHETÁ</t>
  </si>
  <si>
    <t>GAMA</t>
  </si>
  <si>
    <t>GIRARDOT</t>
  </si>
  <si>
    <t>GUACHETÁ</t>
  </si>
  <si>
    <t>GUADUAS</t>
  </si>
  <si>
    <t>GUASCA</t>
  </si>
  <si>
    <t>GUATAQUÍ</t>
  </si>
  <si>
    <t>GUATAVITA</t>
  </si>
  <si>
    <t>GUAYABAL DE SÍQUIMA</t>
  </si>
  <si>
    <t>GUAYABETAL</t>
  </si>
  <si>
    <t>GUTIÉRREZ</t>
  </si>
  <si>
    <t>JERUSALÉN</t>
  </si>
  <si>
    <t>JUNÍN</t>
  </si>
  <si>
    <t>LA CALERA</t>
  </si>
  <si>
    <t>LA MESA</t>
  </si>
  <si>
    <t>LA PALMA</t>
  </si>
  <si>
    <t>LA PEÑA</t>
  </si>
  <si>
    <t>LENGUAZAQUE</t>
  </si>
  <si>
    <t>MACHETÁ</t>
  </si>
  <si>
    <t>MADRID</t>
  </si>
  <si>
    <t>MANTA</t>
  </si>
  <si>
    <t>MEDINA</t>
  </si>
  <si>
    <t>MOSQUERA</t>
  </si>
  <si>
    <t>NEMOCÓN</t>
  </si>
  <si>
    <t>NILO</t>
  </si>
  <si>
    <t>NIMAIMA</t>
  </si>
  <si>
    <t>NOCAIMA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</si>
  <si>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</si>
  <si>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</si>
  <si>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</si>
  <si>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</si>
  <si>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</si>
  <si>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</si>
  <si>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</si>
  <si>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</si>
  <si>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</si>
  <si>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</si>
  <si>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</si>
  <si>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</si>
  <si>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</si>
  <si>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</si>
  <si>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</si>
  <si>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JUAN DE RIOSECO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</si>
  <si>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</si>
  <si>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</si>
  <si>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</si>
  <si>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</si>
  <si>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</si>
  <si>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</si>
  <si>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</si>
  <si>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</si>
  <si>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</si>
  <si>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</si>
  <si>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</si>
  <si>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</si>
  <si>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</si>
  <si>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</si>
  <si>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</si>
  <si>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</si>
  <si>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</si>
  <si>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</si>
  <si>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</si>
  <si>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</si>
  <si>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</si>
  <si>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</si>
  <si>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</si>
  <si>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UBATÉ</t>
  </si>
  <si>
    <t>UNE</t>
  </si>
  <si>
    <t>ÚTICA</t>
  </si>
  <si>
    <t>VERGARA</t>
  </si>
  <si>
    <t>VIANÍ</t>
  </si>
  <si>
    <t>VILLAGÓMEZ</t>
  </si>
  <si>
    <t>VILLAPINZÓN</t>
  </si>
  <si>
    <t>VILLETA</t>
  </si>
  <si>
    <t>VIOTÁ</t>
  </si>
  <si>
    <t>YACOPÍ</t>
  </si>
  <si>
    <t>ZIPACÓN</t>
  </si>
  <si>
    <t>ZIPAQUIRÁ</t>
  </si>
  <si>
    <t>GUAINÍA</t>
  </si>
  <si>
    <t>INÍRIDA</t>
  </si>
  <si>
    <t>BARRANCOMINAS</t>
  </si>
  <si>
    <t xml:space="preserve">MAPIRIPANA  </t>
  </si>
  <si>
    <t xml:space="preserve">SAN FELIPE  </t>
  </si>
  <si>
    <t xml:space="preserve">PUERTO COLOMBIA  </t>
  </si>
  <si>
    <t xml:space="preserve">LA GUADALUPE  </t>
  </si>
  <si>
    <t xml:space="preserve">CACAHUAL  </t>
  </si>
  <si>
    <t xml:space="preserve">PANA PANA  </t>
  </si>
  <si>
    <t xml:space="preserve">MORICHAL  </t>
  </si>
  <si>
    <t>GUAVIARE</t>
  </si>
  <si>
    <t>SAN JOSÉ DEL GUAVIARE</t>
  </si>
  <si>
    <t>EL RETORNO</t>
  </si>
  <si>
    <t>HUILA</t>
  </si>
  <si>
    <t>NEIVA</t>
  </si>
  <si>
    <t>ACEVEDO</t>
  </si>
  <si>
    <t>AGRADO</t>
  </si>
  <si>
    <t>AIPE</t>
  </si>
  <si>
    <t>ALGECIRAS</t>
  </si>
  <si>
    <t>ALTAMIRA</t>
  </si>
  <si>
    <t>BARAYA</t>
  </si>
  <si>
    <t>CAMPOALEGRE</t>
  </si>
  <si>
    <t>COLOMBIA</t>
  </si>
  <si>
    <t>ELÍAS</t>
  </si>
  <si>
    <t>GARZÓN</t>
  </si>
  <si>
    <t>GIGANTE</t>
  </si>
  <si>
    <t>HOBO</t>
  </si>
  <si>
    <t>ÍQUIRA</t>
  </si>
  <si>
    <t>ISNOS</t>
  </si>
  <si>
    <t>LA ARGENTINA</t>
  </si>
  <si>
    <t>LA PLATA</t>
  </si>
  <si>
    <t>NÁTAGA</t>
  </si>
  <si>
    <t>OPORAPA</t>
  </si>
  <si>
    <t>PAICOL</t>
  </si>
  <si>
    <t>PALERMO</t>
  </si>
  <si>
    <t>PITAL</t>
  </si>
  <si>
    <t>PITALITO</t>
  </si>
  <si>
    <t>RIVERA</t>
  </si>
  <si>
    <t>SALADOBLANCO</t>
  </si>
  <si>
    <t>SAN AGUSTÍN</t>
  </si>
  <si>
    <t>SUAZA</t>
  </si>
  <si>
    <t>TARQUI</t>
  </si>
  <si>
    <t>TESALIA</t>
  </si>
  <si>
    <t>TELLO</t>
  </si>
  <si>
    <t>TERUEL</t>
  </si>
  <si>
    <t>TIMANÁ</t>
  </si>
  <si>
    <t>VILLAVIEJA</t>
  </si>
  <si>
    <t>YAGUARÁ</t>
  </si>
  <si>
    <t>LA GUAJIRA</t>
  </si>
  <si>
    <t>RIOHACHA</t>
  </si>
  <si>
    <t>BARRANCAS</t>
  </si>
  <si>
    <t>DIBULLA</t>
  </si>
  <si>
    <t>DISTRACCIÓN</t>
  </si>
  <si>
    <t>EL MOLINO</t>
  </si>
  <si>
    <t>FONSECA</t>
  </si>
  <si>
    <t>HATONUEVO</t>
  </si>
  <si>
    <t>LA JAGUA DEL PILAR</t>
  </si>
  <si>
    <t>MAICAO</t>
  </si>
  <si>
    <t>MANAURE</t>
  </si>
  <si>
    <t>SAN JUAN DEL CESAR</t>
  </si>
  <si>
    <t>URIBIA</t>
  </si>
  <si>
    <t>URUMITA</t>
  </si>
  <si>
    <t>MAGDALENA</t>
  </si>
  <si>
    <t>SANTA MARTA</t>
  </si>
  <si>
    <t>ALGARROBO</t>
  </si>
  <si>
    <t>ARACATACA</t>
  </si>
  <si>
    <t>ARIGUANÍ</t>
  </si>
  <si>
    <t>CERRO DE SAN ANTONIO</t>
  </si>
  <si>
    <t>CHIBOLO</t>
  </si>
  <si>
    <t>CIÉNAGA</t>
  </si>
  <si>
    <t>EL BANCO</t>
  </si>
  <si>
    <t>EL PIÑÓN</t>
  </si>
  <si>
    <t>EL RETÉN</t>
  </si>
  <si>
    <t>FUNDACIÓN</t>
  </si>
  <si>
    <t>GUAMAL</t>
  </si>
  <si>
    <t>NUEVA GRANADA</t>
  </si>
  <si>
    <t>PEDRAZA</t>
  </si>
  <si>
    <t>PIJIÑO DEL CARMEN</t>
  </si>
  <si>
    <t>PIVIJAY</t>
  </si>
  <si>
    <t>PLATO</t>
  </si>
  <si>
    <t>PUEBLOVIEJO</t>
  </si>
  <si>
    <t>REMOLINO</t>
  </si>
  <si>
    <t>SABANAS DE SAN ÁNGEL</t>
  </si>
  <si>
    <t>SAN SEBASTIÁN DE BUENAVISTA</t>
  </si>
  <si>
    <t>SAN ZENÓN</t>
  </si>
  <si>
    <t>SANTA ANA</t>
  </si>
  <si>
    <t>SANTA BÁRBARA DE PINTO</t>
  </si>
  <si>
    <t>SITIONUEVO</t>
  </si>
  <si>
    <t>TENERIFE</t>
  </si>
  <si>
    <t>ZAPAYÁN</t>
  </si>
  <si>
    <t>ZONA BANANERA</t>
  </si>
  <si>
    <t>META</t>
  </si>
  <si>
    <t>VILLAVICENCIO</t>
  </si>
  <si>
    <t>ACACÍAS</t>
  </si>
  <si>
    <t>BARRANCA DE UPÍA</t>
  </si>
  <si>
    <t>CABUYARO</t>
  </si>
  <si>
    <t>CASTILLA LA NUEVA</t>
  </si>
  <si>
    <t>CUBARRAL</t>
  </si>
  <si>
    <t>CUMARAL</t>
  </si>
  <si>
    <t>EL CALVARIO</t>
  </si>
  <si>
    <t>EL CASTILLO</t>
  </si>
  <si>
    <t>EL DORADO</t>
  </si>
  <si>
    <t>FUENTE DE ORO</t>
  </si>
  <si>
    <t>MAPIRIPÁN</t>
  </si>
  <si>
    <t>MESETAS</t>
  </si>
  <si>
    <t>LA MACARENA</t>
  </si>
  <si>
    <t>URIBE</t>
  </si>
  <si>
    <t>LEJANÍAS</t>
  </si>
  <si>
    <t>PUERTO CONCORDIA</t>
  </si>
  <si>
    <t>PUERTO GAITÁN</t>
  </si>
  <si>
    <t>PUERTO LÓPEZ</t>
  </si>
  <si>
    <t>PUERTO LLERAS</t>
  </si>
  <si>
    <t>RESTREPO</t>
  </si>
  <si>
    <t>SAN CARLOS DE GUAROA</t>
  </si>
  <si>
    <t>SAN JUAN DE ARAMA</t>
  </si>
  <si>
    <t>SAN JUANITO</t>
  </si>
  <si>
    <t>VISTAHERMOSA</t>
  </si>
  <si>
    <t>PASTO</t>
  </si>
  <si>
    <t>ALDANA</t>
  </si>
  <si>
    <t>ANCUYA</t>
  </si>
  <si>
    <t>ARBOLEDA</t>
  </si>
  <si>
    <t>BARBACOAS</t>
  </si>
  <si>
    <t>BUESACO</t>
  </si>
  <si>
    <t>COLÓN</t>
  </si>
  <si>
    <t>CONSACÁ</t>
  </si>
  <si>
    <t>CONTADERO</t>
  </si>
  <si>
    <t>CUASPUD CARLOSAMA</t>
  </si>
  <si>
    <t>CUMBAL</t>
  </si>
  <si>
    <t>CUMBITARA</t>
  </si>
  <si>
    <t>CHACHAGÜÍ</t>
  </si>
  <si>
    <t>EL CHARCO</t>
  </si>
  <si>
    <t>EL PEÑOL</t>
  </si>
  <si>
    <t>EL ROSARIO</t>
  </si>
  <si>
    <t>EL TABLÓN DE GÓMEZ</t>
  </si>
  <si>
    <t>FUNES</t>
  </si>
  <si>
    <t>GUACHUCAL</t>
  </si>
  <si>
    <t>GUAITARILLA</t>
  </si>
  <si>
    <t>GUALMATÁN</t>
  </si>
  <si>
    <t>ILES</t>
  </si>
  <si>
    <t>IMUÉS</t>
  </si>
  <si>
    <t>IPIALES</t>
  </si>
  <si>
    <t>LA CRUZ</t>
  </si>
  <si>
    <t>LA FLORIDA</t>
  </si>
  <si>
    <t>LA LLANADA</t>
  </si>
  <si>
    <t>LA TOLA</t>
  </si>
  <si>
    <t>LEIVA</t>
  </si>
  <si>
    <t>LINARES</t>
  </si>
  <si>
    <t>LOS ANDES</t>
  </si>
  <si>
    <t>MAGÜÍ</t>
  </si>
  <si>
    <t>MALLAMA</t>
  </si>
  <si>
    <t>OLAYA HERRERA</t>
  </si>
  <si>
    <t>OSPINA</t>
  </si>
  <si>
    <t>FRANCISCO PIZARRO</t>
  </si>
  <si>
    <t>POLICARPA</t>
  </si>
  <si>
    <t>POTOSÍ</t>
  </si>
  <si>
    <t>PUERRES</t>
  </si>
  <si>
    <t>PUPIALES</t>
  </si>
  <si>
    <t>ROBERTO PAYÁN</t>
  </si>
  <si>
    <t>SAMANIEGO</t>
  </si>
  <si>
    <t>SANDONÁ</t>
  </si>
  <si>
    <t>SAN LORENZO</t>
  </si>
  <si>
    <t>SAN PEDRO DE CARTAGO</t>
  </si>
  <si>
    <t>SANTACRUZ</t>
  </si>
  <si>
    <t>SAPUYES</t>
  </si>
  <si>
    <t>TAMINANGO</t>
  </si>
  <si>
    <t>TANGUA</t>
  </si>
  <si>
    <t>SAN ANDRÉS DE TUMACO</t>
  </si>
  <si>
    <t>TÚQUERRES</t>
  </si>
  <si>
    <t>YACUANQUER</t>
  </si>
  <si>
    <t>NORTE DE SANTANDER</t>
  </si>
  <si>
    <t>CÚCUTA</t>
  </si>
  <si>
    <t>ÁBREGO</t>
  </si>
  <si>
    <t>ARBOLEDAS</t>
  </si>
  <si>
    <t>BOCHALEMA</t>
  </si>
  <si>
    <t>BUCARASICA</t>
  </si>
  <si>
    <t>CÁCOTA</t>
  </si>
  <si>
    <t>CÁCHIRA</t>
  </si>
  <si>
    <t>CHINÁCOTA</t>
  </si>
  <si>
    <t>CHITAGÁ</t>
  </si>
  <si>
    <t>CONVENCIÓN</t>
  </si>
  <si>
    <t>CUCUTILLA</t>
  </si>
  <si>
    <t>DURANIA</t>
  </si>
  <si>
    <t>EL CARMEN</t>
  </si>
  <si>
    <t>EL TARRA</t>
  </si>
  <si>
    <t>EL ZULIA</t>
  </si>
  <si>
    <t>GRAMALOTE</t>
  </si>
  <si>
    <t>HACARÍ</t>
  </si>
  <si>
    <t>HERRÁN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</si>
  <si>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</si>
  <si>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</si>
  <si>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</si>
  <si>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</si>
  <si>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</si>
  <si>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</si>
  <si>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</si>
  <si>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</si>
  <si>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</si>
  <si>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</si>
  <si>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</si>
  <si>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</si>
  <si>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</si>
  <si>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</si>
  <si>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</si>
  <si>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</si>
  <si>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</si>
  <si>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TIBÚ</t>
  </si>
  <si>
    <t>VILLA CARO</t>
  </si>
  <si>
    <t>VILLA DEL ROSARIO</t>
  </si>
  <si>
    <t>PUTUMAYO</t>
  </si>
  <si>
    <t>MOCOA</t>
  </si>
  <si>
    <t>ORITO</t>
  </si>
  <si>
    <t>PUERTO ASÍS</t>
  </si>
  <si>
    <t>PUERTO CAICEDO</t>
  </si>
  <si>
    <t>PUERTO GUZMÁN</t>
  </si>
  <si>
    <t>PUERTO LEGUÍZAMO</t>
  </si>
  <si>
    <t>SIBUNDOY</t>
  </si>
  <si>
    <t>SAN MIGUEL</t>
  </si>
  <si>
    <t>VALLE DEL GUAMUEZ</t>
  </si>
  <si>
    <t>VILLAGARZÓN</t>
  </si>
  <si>
    <t>QUINDÍO</t>
  </si>
  <si>
    <t>CALARCÁ</t>
  </si>
  <si>
    <t>CIRCASIA</t>
  </si>
  <si>
    <t>FILANDIA</t>
  </si>
  <si>
    <t>GÉNOVA</t>
  </si>
  <si>
    <t>LA TEBAIDA</t>
  </si>
  <si>
    <t>MONTENEGRO</t>
  </si>
  <si>
    <t>PIJAO</t>
  </si>
  <si>
    <t>QUIMBAYA</t>
  </si>
  <si>
    <t>SALENTO</t>
  </si>
  <si>
    <t>PEREIRA</t>
  </si>
  <si>
    <t>APÍA</t>
  </si>
  <si>
    <t>BELÉN DE UMBRÍA</t>
  </si>
  <si>
    <t>DOSQUEBRADAS</t>
  </si>
  <si>
    <t>GUÁTICA</t>
  </si>
  <si>
    <t>LA CELIA</t>
  </si>
  <si>
    <t>LA VIRGINIA</t>
  </si>
  <si>
    <t>MARSELLA</t>
  </si>
  <si>
    <t>MISTRATÓ</t>
  </si>
  <si>
    <t>PUEBLO RICO</t>
  </si>
  <si>
    <t>QUINCHÍA</t>
  </si>
  <si>
    <t>SANTA ROSA DE CABAL</t>
  </si>
  <si>
    <t>SANTUARIO</t>
  </si>
  <si>
    <t>SANTANDER</t>
  </si>
  <si>
    <t>BUCARAMANGA</t>
  </si>
  <si>
    <t>AGUADA</t>
  </si>
  <si>
    <t>ARATOCA</t>
  </si>
  <si>
    <t>BARICHARA</t>
  </si>
  <si>
    <t>BARRANCABERMEJA</t>
  </si>
  <si>
    <t>CALIFORNIA</t>
  </si>
  <si>
    <t>CAPITANEJO</t>
  </si>
  <si>
    <t>CARCASÍ</t>
  </si>
  <si>
    <t>CEPITÁ</t>
  </si>
  <si>
    <t>CERRITO</t>
  </si>
  <si>
    <t>CHARALÁ</t>
  </si>
  <si>
    <t>CHARTA</t>
  </si>
  <si>
    <t>CHIMA</t>
  </si>
  <si>
    <t>CHIPATÁ</t>
  </si>
  <si>
    <t>CIMITARRA</t>
  </si>
  <si>
    <t>CONFINES</t>
  </si>
  <si>
    <t>CONTRATACIÓN</t>
  </si>
  <si>
    <t>COROMORO</t>
  </si>
  <si>
    <t>CURITÍ</t>
  </si>
  <si>
    <t>EL CARMEN DE CHUCURÍ</t>
  </si>
  <si>
    <t>EL GUACAMAYO</t>
  </si>
  <si>
    <t>EL PLAYÓN</t>
  </si>
  <si>
    <t>ENCINO</t>
  </si>
  <si>
    <t>ENCISO</t>
  </si>
  <si>
    <t>FLORIÁN</t>
  </si>
  <si>
    <t>FLORIDABLANCA</t>
  </si>
  <si>
    <t>GALÁN</t>
  </si>
  <si>
    <t>GÁMBITA</t>
  </si>
  <si>
    <t>GIRÓN</t>
  </si>
  <si>
    <t>GUACA</t>
  </si>
  <si>
    <t>GUAPOTÁ</t>
  </si>
  <si>
    <t>GUAVATÁ</t>
  </si>
  <si>
    <t>GÜEPSA</t>
  </si>
  <si>
    <t>HATO</t>
  </si>
  <si>
    <t>JESÚS MARÍA</t>
  </si>
  <si>
    <t>JORDÁN</t>
  </si>
  <si>
    <t>LA BELLEZA</t>
  </si>
  <si>
    <t>LANDÁZURI</t>
  </si>
  <si>
    <t>LEBRIJA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</si>
  <si>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</si>
  <si>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</si>
  <si>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</si>
  <si>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</si>
  <si>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</si>
  <si>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</si>
  <si>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</si>
  <si>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</si>
  <si>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</si>
  <si>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</si>
  <si>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</si>
  <si>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</si>
  <si>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</si>
  <si>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</si>
  <si>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</si>
  <si>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</si>
  <si>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</si>
  <si>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SABANA DE TORRES</t>
  </si>
  <si>
    <t>SAN BENITO</t>
  </si>
  <si>
    <t>SAN GIL</t>
  </si>
  <si>
    <t>SAN JOAQUÍN</t>
  </si>
  <si>
    <t>SAN JOSÉ DE MIRANDA</t>
  </si>
  <si>
    <t>SAN VICENTE DE CHUCURÍ</t>
  </si>
  <si>
    <t>SANTA HELENA DEL OPÓN</t>
  </si>
  <si>
    <t>SIMACOTA</t>
  </si>
  <si>
    <t>SOCORRO</t>
  </si>
  <si>
    <t>SUAITA</t>
  </si>
  <si>
    <t>SURATÁ</t>
  </si>
  <si>
    <t>TONA</t>
  </si>
  <si>
    <t>VALLE DE SAN JOSÉ</t>
  </si>
  <si>
    <t>VÉLEZ</t>
  </si>
  <si>
    <t>VETAS</t>
  </si>
  <si>
    <t>ZAPATOCA</t>
  </si>
  <si>
    <t>SINCELEJO</t>
  </si>
  <si>
    <t>CAIMITO</t>
  </si>
  <si>
    <t>COLOSÓ</t>
  </si>
  <si>
    <t>COROZAL</t>
  </si>
  <si>
    <t>COVEÑAS</t>
  </si>
  <si>
    <t>CHALÁN</t>
  </si>
  <si>
    <t>EL ROBLE</t>
  </si>
  <si>
    <t>GALERAS</t>
  </si>
  <si>
    <t>GUARANDA</t>
  </si>
  <si>
    <t>LOS PALMITOS</t>
  </si>
  <si>
    <t>MAJAGUAL</t>
  </si>
  <si>
    <t>MORROA</t>
  </si>
  <si>
    <t>OVEJAS</t>
  </si>
  <si>
    <t>PALMITO</t>
  </si>
  <si>
    <t>SAMPUÉS</t>
  </si>
  <si>
    <t>SAN BENITO ABAD</t>
  </si>
  <si>
    <t>SAN JUAN DE BETULIA</t>
  </si>
  <si>
    <t>SAN MARCOS</t>
  </si>
  <si>
    <t>SAN ONOFRE</t>
  </si>
  <si>
    <t>SAN PEDRO</t>
  </si>
  <si>
    <t>SAN LUIS DE SINCÉ</t>
  </si>
  <si>
    <t>SANTIAGO DE TOLÚ</t>
  </si>
  <si>
    <t>SAN JOSÉ DE TOLUVIEJO</t>
  </si>
  <si>
    <t>TOLIMA</t>
  </si>
  <si>
    <t>IBAGUÉ</t>
  </si>
  <si>
    <t>ALPUJARRA</t>
  </si>
  <si>
    <t>ALVARADO</t>
  </si>
  <si>
    <t>AMBALEMA</t>
  </si>
  <si>
    <t>ANZOÁTEGUI</t>
  </si>
  <si>
    <t>ARMERO</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</si>
  <si>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</si>
  <si>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</si>
  <si>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</si>
  <si>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</si>
  <si>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</si>
  <si>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</si>
  <si>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</si>
  <si>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</si>
  <si>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</si>
  <si>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</si>
  <si>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</si>
  <si>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</si>
  <si>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</si>
  <si>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</si>
  <si>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</si>
  <si>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</si>
  <si>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</si>
  <si>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</si>
  <si>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</si>
  <si>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SAN SEBASTIÁN DE MARIQUITA</t>
  </si>
  <si>
    <t>MELGAR</t>
  </si>
  <si>
    <t>MURILLO</t>
  </si>
  <si>
    <t>NATAGAIMA</t>
  </si>
  <si>
    <t>ORTEGA</t>
  </si>
  <si>
    <t>PALOCABILDO</t>
  </si>
  <si>
    <t>PIEDRAS</t>
  </si>
  <si>
    <t>PLANADAS</t>
  </si>
  <si>
    <t>PRADO</t>
  </si>
  <si>
    <t>RIOBLANCO</t>
  </si>
  <si>
    <t>ROVIRA</t>
  </si>
  <si>
    <t>SALDAÑA</t>
  </si>
  <si>
    <t>SAN ANTONIO</t>
  </si>
  <si>
    <t>SANTA ISABEL</t>
  </si>
  <si>
    <t>VALLE DE SAN JUAN</t>
  </si>
  <si>
    <t>VENADILLO</t>
  </si>
  <si>
    <t>VILLAHERMOSA</t>
  </si>
  <si>
    <t>VILLARRICA</t>
  </si>
  <si>
    <t>PURIFICACIÓN</t>
  </si>
  <si>
    <t>RONCESVALLES</t>
  </si>
  <si>
    <t>VALLE DEL CAUCA</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</si>
  <si>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</si>
  <si>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</si>
  <si>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</si>
  <si>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</si>
  <si>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</si>
  <si>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</si>
  <si>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</si>
  <si>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</si>
  <si>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</si>
  <si>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</si>
  <si>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</si>
  <si>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</si>
  <si>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</si>
  <si>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</si>
  <si>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</si>
  <si>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</si>
  <si>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</si>
  <si>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</si>
  <si>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</si>
  <si>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</si>
  <si>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</si>
  <si>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</si>
  <si>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</si>
  <si>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</si>
  <si>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</si>
  <si>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</si>
  <si>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</si>
  <si>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</si>
  <si>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</si>
  <si>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</si>
  <si>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</si>
  <si>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</si>
  <si>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</si>
  <si>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</si>
  <si>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</si>
  <si>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VAUPÉS</t>
  </si>
  <si>
    <t>MITÚ</t>
  </si>
  <si>
    <t>CARURÚ</t>
  </si>
  <si>
    <t>TARAIRA</t>
  </si>
  <si>
    <t xml:space="preserve">PACOA  </t>
  </si>
  <si>
    <t xml:space="preserve">PAPUNAUA  </t>
  </si>
  <si>
    <t xml:space="preserve">YAVARATÉ  </t>
  </si>
  <si>
    <t>VICHADA</t>
  </si>
  <si>
    <t>PUERTO CARREÑO</t>
  </si>
  <si>
    <t>la primavera</t>
  </si>
  <si>
    <t>santa rosalía</t>
  </si>
  <si>
    <t>cumaribo</t>
  </si>
  <si>
    <t>% Humedad RSO</t>
  </si>
  <si>
    <t>https://www.ambientum.com/enciclopedia_medioambiental/suelos/caracteristicas_fisicas.asp</t>
  </si>
  <si>
    <t>Cenizas RSU promedio</t>
  </si>
  <si>
    <t>Sólidos Volátiles RSU promedio</t>
  </si>
  <si>
    <t>Vida útil proyecto</t>
  </si>
  <si>
    <t>Kg/hab-día Colombia</t>
  </si>
  <si>
    <t>Porcentaje de residuos sólidos orgánicos Colombia</t>
  </si>
  <si>
    <t xml:space="preserve">1) Implemente sistemas de extracción y aprovechamiento de biogás en el sitio de disposición final
2) Tenga en cuenta en la evaluación de factibilidad la gestión e inversiones necesarias para lograr la disponibilidad del terreno donde se vaya a desarrollar el proyecto.
3) Actualice la infraestructura para la presentación de los residuos sólidos para adoptar el código de colores establecido en la Resolución 2184 de 2019
4) Lleve a cabo el diseño e implementación de manuales de operación y mantenimiento.
5) Implemente un sistema de Monitoreo, Reporte y Verificación (MRV) de emisiones de la reducción de emisiones de GEI 
6) Evalue la viabilidad de incluir esquemas de fuentes de financiación verde a partir de la reducción de emisiones de GEI. 
</t>
  </si>
  <si>
    <t xml:space="preserve">1) Actualice el PGIRS, que prevea la viabilidad de proyectos para el tratamiento de residuos sólidos. Para ello como mínimo debe realizarse la actualización o elaboración de:
a. Caracterización de residuos con especial énfasis en la fracción orgánica
b. Estudios técnico-operativos para determinar el tipo de tratamiento más viable
c. Estudios de mercado que permitan determinar la viabilidad del tratamiento
2) Fortalezca la capacidad administrativa de los municipios revisando los indicadores de gestión y resultados de la Medición de Desempeño Municipal (MDM) en los cuales existen falencias.
3) Amplie la destinación de recursos para financiar actividades del servicio público de aseo
4) Implemente sistemas de extracción y aprovechamiento de biogás en el sitio de disposición final
5) Implemente un sistema de Monitoreo, Reporte y Verificación (MRV) de emisiones de la reducción de emisiones de GEI
6) Actualice la infraestructura para la presentación de los residuos sólidos para adoptar el código de colores establecido en la Resolución 2184 de 2019.
</t>
  </si>
  <si>
    <t>1) Actualice el PGIRS, que prevea la viabilidad de proyectos para el tratamiento de residuos sólidos. Para ello como mínimo debe realizarse la actualización o elaboración de:
a. Caracterización de residuos con especial énfasis en la fracción orgánica
b. Estudios técnico-operativos para determinar el tipo de tratamiento más viable
c. Estudios de mercado que permitan determinar la viabilidad del tratamiento
2) Fortalezca la capacidad administrativa de los municipios revisando los indicadores de gestión y resultados de la Medición de Desempeño Municipal (MDM)  en los cuales existen falencias.
3) Amplie la destinación de recursos para financiar actividades del servicio público de aseo
4) Establezca campañas de sensibilización sobre separación en la fuente
5) Garantice la disposición final en rellenos sanitarios regionales o municipales existentes o nuevos. Implementar sistemas de extracción y aprovechamiento de biogás en el sitio de disposición final
6) Identifique áreas afectadas por actividades de disposición final y transferencia, suelos urbanos con actividades definidas como industriales de alto impacto o suelos de expansión y rurales sin restricciones ambientales y debidamente recogidas en la cartografía oficial que puedan ser incluidos por la entidad territorial como áreas para la edificación de infraestructura de tratamiento
7) Implemente un sistema de Monitoreo, Reporte y Verificación (MRV) de emisiones de la reducción de emisiones de GEI
8) Actualice la infraestructura para la presentación de los residuos sólidos para adoptar el código de colores establecido en la Resolución 2184 de 2019
9) Impulse o fortalecer la implementación de rutas selectivas</t>
  </si>
  <si>
    <t xml:space="preserve">1) Fortalezca la capacidad administrativa de los municipios revisando los indicadores de gestión y resultados de la Medición de Desempeño Municipal (MDM)  en los cuales existen falencias.
2) Amplie la destinación de recursos para financiar actividades del servicio público de aseo
3) Amplie la cobertura de la recolección y transporte de residuos en zona rural y urbana
4) Establezca campañas de sensibilización sobre separación en la fuente
5) Mejore condiciones de disposición final a partir de la construcción o ampliación de un relleno sanitario, analizando la posibilidad de unirse a esquemas regionales existentes o nuevos; de no ser viable un sistema regional, construir un sistema municipal/local.
6) Cierre sitios de disposición final no adecuados
7) Identifique áreas afectadas por actividades de disposición final y transferencia, suelos urbanos con actividades definidas como industriales de alto impacto o suelos de expansión y rurales sin restricciones ambientales y debidamente recogidas en la cartografía oficial que puedan ser incluidos por la entidad territorial como áreas para la edificación de infraestructura de tratamiento
8) Actualice la infraestructura para la presentación de los residuos sólidos para adoptar el código de colores establecido en la Resolución 2184 de 2019
9) Impulse o fortalecer la implementación de rutas selectivas
</t>
  </si>
  <si>
    <t>1) Fortalezca la capacidad administrativa de los municipios revisando los indicadores de gestión y resultados de la MDM en los cuales existen falencias.
2) Mejore la continuidad en la recolección y transporte de residuos sólidos y en las frecuencias establecidas para tal fin
3) Establezca campañas de sensibilización sobre la gestión de residuos sólidos y sus impactos
4) Cierre sitios de disposición final no adecuados
5) Identifique alternativas adecuadas para realizar la disposición final de los residuos sólidos de manera adecuada
6) Identifique suelos urbanos con actividades definidas como industriales de alto impacto o suelos de expansión y rurales sin restricciones ambientales y debidamente recogidas en la cartografía oficial que puedan ser incluidos por la entidad territorial como áreas para la edificación de infraestructura de tratamiento
7) Actualce la infraestructura para la presentación de los residuos sólidos para adoptar el código de colores establecido en la Resolución 2184 de 2019
8) Impulse o fortalecer la implementación de rutas selectivas</t>
  </si>
  <si>
    <t>1) Fortalezca la capacidad administrativa de los municipios revisando los indicadores de gestión y resultados de la MDM en los cuales existen falencias.
2) Ample la destinación de recursos para el acceso a los servicios públicos de los habitantes del municipio o región
3) Establezca un sistema de recolección de residuos sólidos
4) Establezcacampañas de sensibilización sobre la gestión de residuos sólidos y sus impactos
5) Disponga los residuos sólidos recolectados
6) Cierre sitios de disposición final no adecuados
7) Identifique maneras adecuadas para realizar la disposición final de los residuos sólidos de manera adecuada
8) Identifque suelos urbanos con actividades definidas como industriales de alto impacto o suelos de expansión y rurales sin restricciones ambientales y debidamente recogidas en la cartografía oficial que puedan ser incluidos por la entidad territorial como áreas para la edificación de infraestructura de tratamiento
9) Actualice la infraestructura para la presentación de los residuos sólidos para adoptar el código de colores establecido en la Resolución 2184 de 2019
10) Impulse o fortalecer la implementación de rutas selectivas</t>
  </si>
  <si>
    <t>Dado el contexto del proyecto, es recomendable continuar con las siguientes fases de planeación para el tratamiento de residuos sólidos órganicos implementando una o la combinación de las tecnologías identificadas en este reporte. Las alternativas contempladas se basan en tecnologías probadas (el análisis de tecnologias no convencionales deberá tener el cuenta lo establecido en el reglamento técnico para el sector de agua potable y saneamiento RAS).</t>
  </si>
  <si>
    <t>Dado el contexto del proyecto, no es recomendable desarrollar un sistema de tratamiento de residuos sólidos órganicos hasta que las condiciones administrativas, técnicas y económicas así lo ameriten.</t>
  </si>
  <si>
    <t>El proyecto no presenta un nivel de favorabilidad completamente adecuado para la implementación de un proyecto de tratamiento de residuos sólidos órganicos. No obstante, dado que no se cuenta con infraestructura para realizar una disposición final adecuada de los residuos sólidos (carreteras disponibles y en buen estado), se recomienda adelantar las siguiente fase de planeación para un sistema de tratamiento a partir de las tecnologías descritas en este reporte, incorporando las soluciones de accesibilidad necesarias.</t>
  </si>
  <si>
    <t>Medición Desempeño Municipal</t>
  </si>
  <si>
    <t>Afirmación/Negación</t>
  </si>
  <si>
    <t>Estado de las vías</t>
  </si>
  <si>
    <t>Sistema de extracción y aprovechamiento de biogás</t>
  </si>
  <si>
    <t>Toneladas mensuales promedio de residuos sólidos provenientes de las actividades de corte de césped y poda de árboles</t>
  </si>
  <si>
    <t>Menos de 30</t>
  </si>
  <si>
    <t>Más de 30 y menos de 300</t>
  </si>
  <si>
    <t>Más de 300 y menos de 1500</t>
  </si>
  <si>
    <t>Más de 1500</t>
  </si>
  <si>
    <t>Años de operación y vida útil del sitio de disposición final</t>
  </si>
  <si>
    <t>Tipo de actor</t>
  </si>
  <si>
    <t>Entidad Territorial</t>
  </si>
  <si>
    <t>Prestador del Servicio Público de Aseo</t>
  </si>
  <si>
    <t>PROYECCIONES DE POBLACIÓN NACIONAL, POR ÁREA.</t>
  </si>
  <si>
    <t>PROYECCIONES DE POBLACIÓN A NIVEL NACIONAL. PERIODO 2018 - 2070.</t>
  </si>
  <si>
    <t>Código</t>
  </si>
  <si>
    <t>Nombre</t>
  </si>
  <si>
    <t>Año</t>
  </si>
  <si>
    <t>Área</t>
  </si>
  <si>
    <t>Población</t>
  </si>
  <si>
    <t>00</t>
  </si>
  <si>
    <t>Total Nacional</t>
  </si>
  <si>
    <t>2018</t>
  </si>
  <si>
    <t>Cabecera Municipal</t>
  </si>
  <si>
    <t>Centros Poblados y Rural Disperso</t>
  </si>
  <si>
    <t>Total</t>
  </si>
  <si>
    <t>2019</t>
  </si>
  <si>
    <t>2020</t>
  </si>
  <si>
    <t>PROMEDIO 2021-2045</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</si>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</sst>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1" formatCode="_-* #,##0_-;\-* #,##0_-;_-* &quot;-&quot;_-;_-@_-"/>
    <numFmt numFmtId="44" formatCode="_-&quot;$&quot;\ * #,##0.00_-;\-&quot;$&quot;\ * #,##0.00_-;_-&quot;$&quot;\ * &quot;-&quot;??_-;_-@_-"/>
    <numFmt numFmtId="43" formatCode="_-* #,##0.00_-;\-* #,##0.00_-;_-* &quot;-&quot;??_-;_-@_-"/>
    <numFmt numFmtId="164" formatCode="_-[$$-240A]\ * #,##0_-;\-[$$-240A]\ * #,##0_-;_-[$$-240A]\ * &quot;-&quot;??_-;_-@_-"/>
    <numFmt numFmtId="165" formatCode="_-* #,##0_-;\-* #,##0_-;_-* &quot;-&quot;??_-;_-@_-"/>
    <numFmt numFmtId="166" formatCode="_-&quot;$&quot;\ * #,##0_-;\-&quot;$&quot;\ * #,##0_-;_-&quot;$&quot;\ * &quot;-&quot;??_-;_-@_-"/>
    <numFmt numFmtId="167" formatCode="_-* #,##0.0_-;\-* #,##0.0_-;_-* &quot;-&quot;??_-;_-@_-"/>
    <numFmt numFmtId="168" formatCode="_-&quot;$&quot;\ * #,##0.000_-;\-&quot;$&quot;\ * #,##0.000_-;_-&quot;$&quot;\ * &quot;-&quot;??_-;_-@_-"/>
    <numFmt numFmtId="169" formatCode="0.000%"/>
    <numFmt numFmtId="170" formatCode="_-* #,##0.00_-;\-* #,##0.00_-;_-* &quot;-&quot;_-;_-@_-"/>
  </numFmts>
  <fonts count="39" x14ac:knownFonts="1">
    <font>
      <sz val="11"/>
      <color theme="1"/>
      <name val="Calibri"/>
      <family val="2"/>
      <scheme val="minor"/>
    </font>
    <font>
      <i/>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16"/>
      <color theme="1"/>
      <name val="Calibri"/>
      <family val="2"/>
      <scheme val="minor"/>
    </font>
    <font>
      <b/>
      <sz val="14"/>
      <color theme="0"/>
      <name val="Calibri"/>
      <family val="2"/>
      <scheme val="minor"/>
    </font>
    <font>
      <b/>
      <i/>
      <sz val="11"/>
      <color theme="1"/>
      <name val="Calibri"/>
      <family val="2"/>
      <scheme val="minor"/>
    </font>
    <font>
      <b/>
      <i/>
      <sz val="16"/>
      <color theme="1"/>
      <name val="Calibri"/>
      <family val="2"/>
      <scheme val="minor"/>
    </font>
    <font>
      <b/>
      <sz val="16"/>
      <color theme="4"/>
      <name val="Calibri"/>
      <family val="2"/>
      <scheme val="minor"/>
    </font>
    <font>
      <b/>
      <sz val="16"/>
      <color theme="0"/>
      <name val="Calibri"/>
      <family val="2"/>
      <scheme val="minor"/>
    </font>
    <font>
      <sz val="11"/>
      <color theme="1"/>
      <name val="Segoe UI"/>
      <family val="2"/>
    </font>
    <font>
      <b/>
      <sz val="11"/>
      <color theme="1"/>
      <name val="Segoe UI"/>
      <family val="2"/>
    </font>
    <font>
      <b/>
      <sz val="14"/>
      <color theme="0"/>
      <name val="Segoe UI"/>
      <family val="2"/>
    </font>
    <font>
      <sz val="10"/>
      <color theme="1"/>
      <name val="Segoe UI"/>
      <family val="2"/>
    </font>
    <font>
      <b/>
      <sz val="10"/>
      <color theme="0"/>
      <name val="Segoe UI"/>
      <family val="2"/>
    </font>
    <font>
      <b/>
      <sz val="10"/>
      <color theme="1"/>
      <name val="Segoe UI"/>
      <family val="2"/>
    </font>
    <font>
      <i/>
      <sz val="10"/>
      <color theme="1"/>
      <name val="Segoe UI"/>
      <family val="2"/>
    </font>
    <font>
      <b/>
      <i/>
      <sz val="11"/>
      <color theme="1"/>
      <name val="Segoe UI"/>
      <family val="2"/>
    </font>
    <font>
      <b/>
      <i/>
      <sz val="12"/>
      <color theme="1"/>
      <name val="Segoe UI"/>
      <family val="2"/>
    </font>
    <font>
      <sz val="11"/>
      <color theme="9"/>
      <name val="Segoe UI"/>
      <family val="2"/>
    </font>
    <font>
      <b/>
      <i/>
      <sz val="11"/>
      <color rgb="FF003399"/>
      <name val="Segoe UI"/>
      <family val="2"/>
    </font>
    <font>
      <b/>
      <i/>
      <sz val="11"/>
      <color theme="0"/>
      <name val="Segoe UI"/>
      <family val="2"/>
    </font>
    <font>
      <i/>
      <sz val="11"/>
      <color theme="1"/>
      <name val="Segoe UI"/>
      <family val="2"/>
    </font>
    <font>
      <sz val="10"/>
      <name val="Segoe UI"/>
      <family val="2"/>
    </font>
    <font>
      <b/>
      <sz val="11"/>
      <color theme="0"/>
      <name val="Segoe UI"/>
      <family val="2"/>
    </font>
    <font>
      <b/>
      <sz val="11"/>
      <color theme="4"/>
      <name val="Segoe UI"/>
      <family val="2"/>
    </font>
    <font>
      <b/>
      <sz val="12"/>
      <color theme="1"/>
      <name val="Calibri"/>
      <family val="2"/>
      <scheme val="minor"/>
    </font>
    <font>
      <sz val="10"/>
      <name val="Arial"/>
      <family val="2"/>
    </font>
    <font>
      <b/>
      <sz val="10"/>
      <name val="Segoe UI"/>
      <family val="2"/>
    </font>
    <font>
      <u/>
      <sz val="11"/>
      <color theme="10"/>
      <name val="Calibri"/>
      <family val="2"/>
      <scheme val="minor"/>
    </font>
    <font>
      <sz val="11"/>
      <color theme="0"/>
      <name val="Segoe UI"/>
      <family val="2"/>
    </font>
    <font>
      <sz val="11"/>
      <color rgb="FFFF0000"/>
      <name val="Calibri"/>
      <family val="2"/>
      <scheme val="minor"/>
    </font>
    <font>
      <b/>
      <sz val="9"/>
      <color indexed="81"/>
      <name val="Tahoma"/>
      <family val="2"/>
    </font>
    <font>
      <sz val="11"/>
      <color theme="0"/>
      <name val="Calibri"/>
      <family val="2"/>
      <scheme val="minor"/>
    </font>
    <font>
      <b/>
      <sz val="11"/>
      <name val="Calibri"/>
      <family val="2"/>
      <scheme val="minor"/>
    </font>
    <font>
      <b/>
      <sz val="11"/>
      <color rgb="FF333399"/>
      <name val="Segoe UI"/>
      <family val="2"/>
    </font>
    <font>
      <b/>
      <sz val="10"/>
      <color rgb="FF333399"/>
      <name val="Segoe UI"/>
      <family val="2"/>
    </font>
    <font>
      <b/>
      <sz val="8"/>
      <color rgb="FF333399"/>
      <name val="Segoe UI"/>
      <family val="2"/>
    </font>
  </fonts>
  <fills count="23">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3"/>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4"/>
        <bgColor indexed="64"/>
      </patternFill>
    </fill>
    <fill>
      <patternFill patternType="solid">
        <fgColor theme="5" tint="-0.249977111117893"/>
        <bgColor indexed="64"/>
      </patternFill>
    </fill>
    <fill>
      <patternFill patternType="solid">
        <fgColor theme="2"/>
        <bgColor indexed="64"/>
      </patternFill>
    </fill>
    <fill>
      <patternFill patternType="solid">
        <fgColor theme="8" tint="0.59999389629810485"/>
        <bgColor indexed="64"/>
      </patternFill>
    </fill>
    <fill>
      <patternFill patternType="solid">
        <fgColor theme="5"/>
        <bgColor indexed="64"/>
      </patternFill>
    </fill>
    <fill>
      <patternFill patternType="solid">
        <fgColor rgb="FF92D050"/>
        <bgColor indexed="64"/>
      </patternFill>
    </fill>
    <fill>
      <patternFill patternType="solid">
        <fgColor rgb="FF00B05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9" tint="-0.499984740745262"/>
        <bgColor indexed="64"/>
      </patternFill>
    </fill>
    <fill>
      <patternFill patternType="solid">
        <fgColor rgb="FFB6004B"/>
        <bgColor indexed="64"/>
      </patternFill>
    </fill>
    <fill>
      <patternFill patternType="solid">
        <fgColor theme="0" tint="-0.249977111117893"/>
        <bgColor indexed="64"/>
      </patternFill>
    </fill>
  </fills>
  <borders count="36">
    <border>
      <left/>
      <right/>
      <top/>
      <bottom/>
      <diagonal/>
    </border>
    <border>
      <left/>
      <right/>
      <top style="hair">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style="medium">
        <color theme="0"/>
      </left>
      <right style="medium">
        <color theme="0"/>
      </right>
      <top style="medium">
        <color theme="0"/>
      </top>
      <bottom style="medium">
        <color theme="0"/>
      </bottom>
      <diagonal/>
    </border>
    <border>
      <left style="medium">
        <color theme="0"/>
      </left>
      <right/>
      <top style="medium">
        <color theme="0"/>
      </top>
      <bottom style="medium">
        <color theme="0"/>
      </bottom>
      <diagonal/>
    </border>
    <border>
      <left style="medium">
        <color theme="0"/>
      </left>
      <right/>
      <top/>
      <bottom/>
      <diagonal/>
    </border>
    <border>
      <left/>
      <right/>
      <top style="medium">
        <color theme="0"/>
      </top>
      <bottom style="medium">
        <color theme="0"/>
      </bottom>
      <diagonal/>
    </border>
    <border>
      <left style="thin">
        <color theme="0"/>
      </left>
      <right/>
      <top/>
      <bottom/>
      <diagonal/>
    </border>
    <border>
      <left/>
      <right style="thin">
        <color theme="0"/>
      </right>
      <top/>
      <bottom/>
      <diagonal/>
    </border>
    <border>
      <left style="thin">
        <color theme="0"/>
      </left>
      <right style="medium">
        <color theme="0"/>
      </right>
      <top style="medium">
        <color theme="0"/>
      </top>
      <bottom style="medium">
        <color theme="0"/>
      </bottom>
      <diagonal/>
    </border>
    <border>
      <left style="medium">
        <color theme="0"/>
      </left>
      <right style="thin">
        <color theme="0"/>
      </right>
      <top style="medium">
        <color theme="0"/>
      </top>
      <bottom style="medium">
        <color theme="0"/>
      </bottom>
      <diagonal/>
    </border>
    <border>
      <left/>
      <right style="thin">
        <color theme="0"/>
      </right>
      <top style="medium">
        <color theme="0"/>
      </top>
      <bottom style="medium">
        <color theme="0"/>
      </bottom>
      <diagonal/>
    </border>
    <border>
      <left style="thin">
        <color theme="0"/>
      </left>
      <right/>
      <top style="medium">
        <color theme="0"/>
      </top>
      <bottom style="medium">
        <color theme="0"/>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7">
    <xf numFmtId="0" fontId="0"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41" fontId="2" fillId="0" borderId="0" applyFont="0" applyFill="0" applyBorder="0" applyAlignment="0" applyProtection="0"/>
    <xf numFmtId="0" fontId="28" fillId="0" borderId="0"/>
    <xf numFmtId="0" fontId="30" fillId="0" borderId="0" applyNumberFormat="0" applyFill="0" applyBorder="0" applyAlignment="0" applyProtection="0"/>
  </cellStyleXfs>
  <cellXfs count="298">
    <xf numFmtId="0" fontId="0" fillId="0" borderId="0" xfId="0"/>
    <xf numFmtId="0" fontId="0" fillId="0" borderId="0" xfId="0" applyAlignment="1">
      <alignment wrapText="1"/>
    </xf>
    <xf numFmtId="0" fontId="0" fillId="2" borderId="0" xfId="0" applyFill="1"/>
    <xf numFmtId="0" fontId="0" fillId="2" borderId="0" xfId="0" applyFill="1" applyAlignment="1">
      <alignment horizontal="center" vertical="center"/>
    </xf>
    <xf numFmtId="0" fontId="0" fillId="4" borderId="0" xfId="0" applyFill="1" applyAlignment="1">
      <alignment horizontal="center" vertical="center"/>
    </xf>
    <xf numFmtId="0" fontId="4" fillId="2" borderId="0" xfId="0" applyFont="1" applyFill="1"/>
    <xf numFmtId="0" fontId="5" fillId="2" borderId="0" xfId="0" applyFont="1" applyFill="1"/>
    <xf numFmtId="0" fontId="1" fillId="4" borderId="0" xfId="0" applyFont="1" applyFill="1" applyAlignment="1">
      <alignment horizontal="center" vertical="center"/>
    </xf>
    <xf numFmtId="0" fontId="0" fillId="4" borderId="0" xfId="0" applyFill="1" applyAlignment="1">
      <alignment horizontal="center" vertical="center" wrapText="1"/>
    </xf>
    <xf numFmtId="0" fontId="3" fillId="3" borderId="0" xfId="0" applyFont="1" applyFill="1" applyAlignment="1">
      <alignment vertical="center" wrapText="1"/>
    </xf>
    <xf numFmtId="0" fontId="0" fillId="5" borderId="0" xfId="0" applyFill="1" applyAlignment="1">
      <alignment horizontal="center" vertical="center" wrapText="1"/>
    </xf>
    <xf numFmtId="0" fontId="0" fillId="0" borderId="0" xfId="0" applyAlignment="1">
      <alignment horizontal="center" vertical="center" wrapText="1"/>
    </xf>
    <xf numFmtId="9" fontId="0" fillId="0" borderId="0" xfId="0" applyNumberFormat="1"/>
    <xf numFmtId="10" fontId="0" fillId="0" borderId="0" xfId="0" applyNumberFormat="1"/>
    <xf numFmtId="9" fontId="0" fillId="0" borderId="0" xfId="3" applyFont="1"/>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0" fillId="2" borderId="0" xfId="0" applyFill="1" applyAlignment="1">
      <alignment horizontal="center" vertical="center" wrapText="1"/>
    </xf>
    <xf numFmtId="0" fontId="6" fillId="6" borderId="3"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4" xfId="0" applyFont="1" applyFill="1" applyBorder="1" applyAlignment="1">
      <alignment horizontal="center" vertical="center"/>
    </xf>
    <xf numFmtId="0" fontId="7" fillId="7" borderId="6" xfId="0" applyFont="1" applyFill="1" applyBorder="1" applyAlignment="1">
      <alignment horizontal="left" vertical="center"/>
    </xf>
    <xf numFmtId="0" fontId="3" fillId="2" borderId="13" xfId="0" applyFont="1" applyFill="1" applyBorder="1" applyAlignment="1">
      <alignment horizontal="center" vertical="center"/>
    </xf>
    <xf numFmtId="0" fontId="7" fillId="7" borderId="8" xfId="0" applyFont="1" applyFill="1" applyBorder="1" applyAlignment="1">
      <alignment horizontal="left" vertical="center"/>
    </xf>
    <xf numFmtId="0" fontId="1" fillId="2" borderId="8" xfId="0" applyFont="1" applyFill="1" applyBorder="1" applyAlignment="1">
      <alignment horizontal="right" vertical="center"/>
    </xf>
    <xf numFmtId="0" fontId="7" fillId="7" borderId="7" xfId="0" applyFont="1" applyFill="1" applyBorder="1" applyAlignment="1">
      <alignment horizontal="left" vertical="center"/>
    </xf>
    <xf numFmtId="0" fontId="3" fillId="2" borderId="15" xfId="0" applyFont="1" applyFill="1" applyBorder="1" applyAlignment="1">
      <alignment horizontal="center" vertical="center"/>
    </xf>
    <xf numFmtId="0" fontId="0" fillId="0" borderId="0" xfId="0" applyAlignment="1">
      <alignment horizontal="center" vertical="center"/>
    </xf>
    <xf numFmtId="0" fontId="7" fillId="7" borderId="6"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7" xfId="0" applyFont="1" applyFill="1" applyBorder="1" applyAlignment="1">
      <alignment horizontal="center" vertical="center"/>
    </xf>
    <xf numFmtId="9" fontId="0" fillId="2" borderId="0" xfId="0" applyNumberFormat="1" applyFill="1" applyAlignment="1">
      <alignment horizontal="center" vertical="center"/>
    </xf>
    <xf numFmtId="164" fontId="0" fillId="2" borderId="0" xfId="2" applyNumberFormat="1" applyFont="1" applyFill="1" applyBorder="1" applyAlignment="1">
      <alignment horizontal="center" vertical="center"/>
    </xf>
    <xf numFmtId="9" fontId="0" fillId="2" borderId="15" xfId="0" applyNumberFormat="1" applyFill="1" applyBorder="1" applyAlignment="1">
      <alignment horizontal="center" vertical="center"/>
    </xf>
    <xf numFmtId="164" fontId="0" fillId="2" borderId="15" xfId="2" applyNumberFormat="1" applyFont="1" applyFill="1" applyBorder="1" applyAlignment="1">
      <alignment horizontal="center" vertical="center"/>
    </xf>
    <xf numFmtId="0" fontId="6" fillId="6" borderId="3" xfId="0" applyFont="1" applyFill="1" applyBorder="1" applyAlignment="1">
      <alignment horizontal="center" vertical="center" wrapText="1"/>
    </xf>
    <xf numFmtId="0" fontId="6" fillId="6" borderId="2" xfId="0" applyFont="1" applyFill="1" applyBorder="1" applyAlignment="1">
      <alignment horizontal="center" vertical="center" wrapText="1"/>
    </xf>
    <xf numFmtId="9" fontId="0" fillId="2" borderId="10" xfId="0" applyNumberFormat="1" applyFill="1" applyBorder="1" applyAlignment="1">
      <alignment horizontal="center" vertical="center"/>
    </xf>
    <xf numFmtId="164" fontId="0" fillId="2" borderId="10" xfId="2" applyNumberFormat="1" applyFont="1" applyFill="1" applyBorder="1" applyAlignment="1">
      <alignment horizontal="center" vertical="center"/>
    </xf>
    <xf numFmtId="9" fontId="0" fillId="0" borderId="0" xfId="3" applyFont="1" applyAlignment="1">
      <alignment horizontal="center" vertical="center" wrapText="1"/>
    </xf>
    <xf numFmtId="2" fontId="0" fillId="2" borderId="10" xfId="0" applyNumberFormat="1" applyFill="1" applyBorder="1" applyAlignment="1">
      <alignment horizontal="center" vertical="center"/>
    </xf>
    <xf numFmtId="2" fontId="0" fillId="2" borderId="0" xfId="0" applyNumberFormat="1" applyFill="1" applyAlignment="1">
      <alignment horizontal="center" vertical="center"/>
    </xf>
    <xf numFmtId="166" fontId="0" fillId="2" borderId="10" xfId="2" applyNumberFormat="1" applyFont="1" applyFill="1" applyBorder="1" applyAlignment="1">
      <alignment horizontal="center" vertical="center"/>
    </xf>
    <xf numFmtId="166" fontId="0" fillId="2" borderId="0" xfId="2" applyNumberFormat="1" applyFont="1" applyFill="1" applyBorder="1" applyAlignment="1">
      <alignment horizontal="center" vertical="center"/>
    </xf>
    <xf numFmtId="166" fontId="0" fillId="2" borderId="15" xfId="2" applyNumberFormat="1" applyFont="1" applyFill="1" applyBorder="1" applyAlignment="1">
      <alignment horizontal="center" vertical="center"/>
    </xf>
    <xf numFmtId="9" fontId="0" fillId="2" borderId="11" xfId="3" applyFont="1" applyFill="1" applyBorder="1" applyAlignment="1">
      <alignment horizontal="center" vertical="center"/>
    </xf>
    <xf numFmtId="9" fontId="0" fillId="2" borderId="13" xfId="3" applyFont="1" applyFill="1" applyBorder="1" applyAlignment="1">
      <alignment horizontal="center" vertical="center"/>
    </xf>
    <xf numFmtId="9" fontId="0" fillId="2" borderId="16" xfId="3" applyFont="1" applyFill="1" applyBorder="1" applyAlignment="1">
      <alignment horizontal="center" vertical="center"/>
    </xf>
    <xf numFmtId="0" fontId="3" fillId="3" borderId="0" xfId="0" applyFont="1" applyFill="1" applyAlignment="1">
      <alignment horizontal="center" vertical="center"/>
    </xf>
    <xf numFmtId="0" fontId="0" fillId="5" borderId="0" xfId="0" applyFill="1" applyAlignment="1">
      <alignment horizontal="center" vertical="center"/>
    </xf>
    <xf numFmtId="0" fontId="3" fillId="2" borderId="0" xfId="0" applyFont="1" applyFill="1" applyAlignment="1">
      <alignment horizontal="center" vertical="center"/>
    </xf>
    <xf numFmtId="0" fontId="0" fillId="2" borderId="0" xfId="0" applyFill="1" applyAlignment="1">
      <alignment vertical="center" wrapText="1"/>
    </xf>
    <xf numFmtId="0" fontId="6" fillId="11" borderId="2" xfId="0" applyFont="1" applyFill="1" applyBorder="1" applyAlignment="1">
      <alignment horizontal="center" vertical="center" wrapText="1"/>
    </xf>
    <xf numFmtId="0" fontId="6" fillId="12" borderId="3" xfId="0" applyFont="1" applyFill="1" applyBorder="1" applyAlignment="1">
      <alignment horizontal="center" vertical="center" wrapText="1"/>
    </xf>
    <xf numFmtId="167" fontId="0" fillId="2" borderId="8" xfId="1" applyNumberFormat="1" applyFont="1" applyFill="1" applyBorder="1" applyAlignment="1">
      <alignment horizontal="center" vertical="center"/>
    </xf>
    <xf numFmtId="0" fontId="0" fillId="2" borderId="8" xfId="0" applyFill="1" applyBorder="1" applyAlignment="1">
      <alignment horizontal="center" vertical="center"/>
    </xf>
    <xf numFmtId="165" fontId="0" fillId="2" borderId="10" xfId="1" applyNumberFormat="1" applyFont="1" applyFill="1" applyBorder="1" applyAlignment="1">
      <alignment horizontal="center" vertical="center"/>
    </xf>
    <xf numFmtId="165" fontId="0" fillId="2" borderId="0" xfId="1" applyNumberFormat="1" applyFont="1" applyFill="1" applyBorder="1" applyAlignment="1">
      <alignment horizontal="center" vertical="center"/>
    </xf>
    <xf numFmtId="167" fontId="0" fillId="2" borderId="7" xfId="1" applyNumberFormat="1" applyFont="1" applyFill="1" applyBorder="1" applyAlignment="1">
      <alignment horizontal="center" vertical="center"/>
    </xf>
    <xf numFmtId="0" fontId="0" fillId="2" borderId="7" xfId="0" applyFill="1" applyBorder="1" applyAlignment="1">
      <alignment horizontal="center" vertical="center"/>
    </xf>
    <xf numFmtId="165" fontId="0" fillId="2" borderId="15" xfId="1" applyNumberFormat="1" applyFont="1" applyFill="1" applyBorder="1" applyAlignment="1">
      <alignment horizontal="center" vertical="center"/>
    </xf>
    <xf numFmtId="165" fontId="0" fillId="5" borderId="0" xfId="1" applyNumberFormat="1" applyFont="1" applyFill="1" applyAlignment="1">
      <alignment horizontal="center" vertical="center"/>
    </xf>
    <xf numFmtId="165" fontId="0" fillId="4" borderId="0" xfId="1" applyNumberFormat="1" applyFont="1" applyFill="1" applyAlignment="1">
      <alignment horizontal="center" vertical="center"/>
    </xf>
    <xf numFmtId="9" fontId="0" fillId="5" borderId="0" xfId="0" applyNumberFormat="1" applyFill="1" applyAlignment="1">
      <alignment horizontal="center" vertical="center"/>
    </xf>
    <xf numFmtId="9" fontId="0" fillId="4" borderId="0" xfId="0" applyNumberFormat="1" applyFill="1" applyAlignment="1">
      <alignment horizontal="center" vertical="center"/>
    </xf>
    <xf numFmtId="0" fontId="0" fillId="13" borderId="0" xfId="0" applyFill="1" applyAlignment="1">
      <alignment horizontal="center" vertical="center"/>
    </xf>
    <xf numFmtId="0" fontId="7" fillId="7" borderId="0" xfId="0" applyFont="1" applyFill="1" applyAlignment="1">
      <alignment horizontal="left" vertical="center"/>
    </xf>
    <xf numFmtId="0" fontId="7" fillId="7" borderId="0" xfId="0" applyFont="1" applyFill="1" applyAlignment="1">
      <alignment horizontal="left" vertical="center" wrapText="1"/>
    </xf>
    <xf numFmtId="6" fontId="0" fillId="0" borderId="0" xfId="0" applyNumberFormat="1"/>
    <xf numFmtId="0" fontId="3" fillId="14" borderId="0" xfId="0" applyFont="1" applyFill="1" applyAlignment="1">
      <alignment horizontal="center" vertical="center" wrapText="1"/>
    </xf>
    <xf numFmtId="0" fontId="3" fillId="10" borderId="0" xfId="0" applyFont="1" applyFill="1" applyAlignment="1">
      <alignment horizontal="center" vertical="center"/>
    </xf>
    <xf numFmtId="0" fontId="3" fillId="10" borderId="0" xfId="0" applyFont="1" applyFill="1" applyAlignment="1">
      <alignment vertical="center"/>
    </xf>
    <xf numFmtId="166" fontId="0" fillId="0" borderId="0" xfId="2" applyNumberFormat="1" applyFont="1"/>
    <xf numFmtId="166" fontId="0" fillId="0" borderId="0" xfId="0" applyNumberFormat="1"/>
    <xf numFmtId="0" fontId="3" fillId="3" borderId="0" xfId="0" applyFont="1" applyFill="1" applyAlignment="1">
      <alignment horizontal="center" vertical="center" wrapText="1"/>
    </xf>
    <xf numFmtId="3" fontId="0" fillId="0" borderId="0" xfId="0" applyNumberFormat="1"/>
    <xf numFmtId="166" fontId="0" fillId="0" borderId="0" xfId="2" applyNumberFormat="1" applyFont="1" applyBorder="1"/>
    <xf numFmtId="166" fontId="0" fillId="0" borderId="12" xfId="2" applyNumberFormat="1" applyFont="1" applyBorder="1"/>
    <xf numFmtId="0" fontId="6" fillId="12" borderId="2" xfId="0" applyFont="1" applyFill="1" applyBorder="1" applyAlignment="1">
      <alignment horizontal="center" vertical="center" wrapText="1"/>
    </xf>
    <xf numFmtId="165" fontId="0" fillId="2" borderId="11" xfId="1" applyNumberFormat="1" applyFont="1" applyFill="1" applyBorder="1" applyAlignment="1">
      <alignment horizontal="center" vertical="center"/>
    </xf>
    <xf numFmtId="165" fontId="0" fillId="2" borderId="13" xfId="1" applyNumberFormat="1" applyFont="1" applyFill="1" applyBorder="1" applyAlignment="1">
      <alignment horizontal="center" vertical="center"/>
    </xf>
    <xf numFmtId="2" fontId="0" fillId="2" borderId="15" xfId="0" applyNumberFormat="1" applyFill="1" applyBorder="1" applyAlignment="1">
      <alignment horizontal="center" vertical="center"/>
    </xf>
    <xf numFmtId="165" fontId="0" fillId="2" borderId="16" xfId="1" applyNumberFormat="1" applyFont="1" applyFill="1" applyBorder="1" applyAlignment="1">
      <alignment horizontal="center" vertical="center"/>
    </xf>
    <xf numFmtId="165" fontId="0" fillId="13" borderId="0" xfId="1" applyNumberFormat="1" applyFont="1" applyFill="1" applyAlignment="1">
      <alignment horizontal="center" vertical="center"/>
    </xf>
    <xf numFmtId="0" fontId="11" fillId="2" borderId="0" xfId="0" applyFont="1" applyFill="1" applyAlignment="1">
      <alignment horizontal="center" vertical="center"/>
    </xf>
    <xf numFmtId="0" fontId="11" fillId="0" borderId="0" xfId="0" applyFont="1" applyAlignment="1">
      <alignment horizontal="center" vertical="center"/>
    </xf>
    <xf numFmtId="0" fontId="12" fillId="2" borderId="8" xfId="0" applyFont="1" applyFill="1" applyBorder="1" applyAlignment="1">
      <alignment horizontal="center" vertical="center"/>
    </xf>
    <xf numFmtId="0" fontId="12" fillId="2" borderId="7" xfId="0" applyFont="1" applyFill="1" applyBorder="1" applyAlignment="1">
      <alignment horizontal="center" vertical="center"/>
    </xf>
    <xf numFmtId="0" fontId="3" fillId="2" borderId="0" xfId="0" applyFont="1" applyFill="1" applyAlignment="1">
      <alignment horizontal="center" vertical="center" wrapText="1"/>
    </xf>
    <xf numFmtId="166" fontId="0" fillId="2" borderId="0" xfId="2" applyNumberFormat="1" applyFont="1" applyFill="1" applyAlignment="1">
      <alignment horizontal="center" vertical="center"/>
    </xf>
    <xf numFmtId="166" fontId="0" fillId="2" borderId="0" xfId="0" applyNumberFormat="1" applyFill="1" applyAlignment="1">
      <alignment horizontal="center" vertical="center"/>
    </xf>
    <xf numFmtId="0" fontId="11" fillId="2" borderId="0" xfId="0" applyFont="1" applyFill="1"/>
    <xf numFmtId="0" fontId="11" fillId="0" borderId="0" xfId="0" applyFont="1"/>
    <xf numFmtId="0" fontId="14" fillId="2" borderId="0" xfId="0" applyFont="1" applyFill="1"/>
    <xf numFmtId="0" fontId="18" fillId="7" borderId="0" xfId="0" applyFont="1" applyFill="1" applyAlignment="1">
      <alignment horizontal="center"/>
    </xf>
    <xf numFmtId="0" fontId="12" fillId="2" borderId="0" xfId="0" applyFont="1" applyFill="1" applyAlignment="1">
      <alignment horizontal="center"/>
    </xf>
    <xf numFmtId="0" fontId="12" fillId="2" borderId="0" xfId="0" applyFont="1" applyFill="1" applyAlignment="1">
      <alignment horizontal="center" wrapText="1"/>
    </xf>
    <xf numFmtId="43" fontId="0" fillId="0" borderId="0" xfId="0" applyNumberFormat="1"/>
    <xf numFmtId="0" fontId="11" fillId="2" borderId="22" xfId="0" applyFont="1" applyFill="1" applyBorder="1" applyAlignment="1">
      <alignment horizontal="center" vertical="center"/>
    </xf>
    <xf numFmtId="0" fontId="11" fillId="2" borderId="23" xfId="0" applyFont="1" applyFill="1" applyBorder="1" applyAlignment="1">
      <alignment horizontal="center" vertical="center"/>
    </xf>
    <xf numFmtId="0" fontId="12" fillId="3" borderId="24" xfId="0" applyFont="1" applyFill="1" applyBorder="1" applyAlignment="1">
      <alignment horizontal="center" vertical="center" wrapText="1"/>
    </xf>
    <xf numFmtId="0" fontId="12" fillId="8" borderId="24"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2" fillId="16" borderId="24" xfId="0" applyFont="1" applyFill="1" applyBorder="1" applyAlignment="1">
      <alignment horizontal="center" vertical="center" wrapText="1"/>
    </xf>
    <xf numFmtId="166" fontId="12" fillId="8" borderId="26" xfId="2" applyNumberFormat="1" applyFont="1" applyFill="1" applyBorder="1" applyAlignment="1">
      <alignment vertical="center" wrapText="1"/>
    </xf>
    <xf numFmtId="0" fontId="11" fillId="2" borderId="28" xfId="0" applyFont="1" applyFill="1" applyBorder="1" applyAlignment="1">
      <alignment horizontal="center" vertical="center"/>
    </xf>
    <xf numFmtId="0" fontId="11" fillId="2" borderId="29" xfId="0" applyFont="1" applyFill="1" applyBorder="1" applyAlignment="1">
      <alignment horizontal="center" vertical="center"/>
    </xf>
    <xf numFmtId="0" fontId="11" fillId="2" borderId="30"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0" xfId="0" applyFont="1" applyFill="1" applyAlignment="1">
      <alignment wrapText="1"/>
    </xf>
    <xf numFmtId="0" fontId="20" fillId="2" borderId="0" xfId="0" applyFont="1" applyFill="1"/>
    <xf numFmtId="0" fontId="11" fillId="2" borderId="0" xfId="0" applyFont="1" applyFill="1" applyProtection="1">
      <protection locked="0"/>
    </xf>
    <xf numFmtId="0" fontId="20" fillId="2" borderId="0" xfId="0" applyFont="1" applyFill="1" applyProtection="1">
      <protection locked="0"/>
    </xf>
    <xf numFmtId="0" fontId="18" fillId="7" borderId="0" xfId="0" applyFont="1" applyFill="1" applyAlignment="1" applyProtection="1">
      <alignment horizontal="center"/>
      <protection locked="0"/>
    </xf>
    <xf numFmtId="165" fontId="0" fillId="2" borderId="0" xfId="1" applyNumberFormat="1" applyFont="1" applyFill="1" applyAlignment="1">
      <alignment horizontal="center" vertical="center"/>
    </xf>
    <xf numFmtId="0" fontId="14" fillId="9" borderId="0" xfId="0" applyFont="1" applyFill="1" applyAlignment="1">
      <alignment vertical="center" wrapText="1"/>
    </xf>
    <xf numFmtId="0" fontId="3" fillId="0" borderId="0" xfId="0" applyFont="1"/>
    <xf numFmtId="0" fontId="21" fillId="2" borderId="0" xfId="0" applyFont="1" applyFill="1" applyAlignment="1">
      <alignment horizontal="center" wrapText="1"/>
    </xf>
    <xf numFmtId="0" fontId="12" fillId="8" borderId="31" xfId="0" applyFont="1" applyFill="1" applyBorder="1" applyAlignment="1">
      <alignment horizontal="center" vertical="center"/>
    </xf>
    <xf numFmtId="0" fontId="11" fillId="8" borderId="31" xfId="0" applyFont="1" applyFill="1" applyBorder="1" applyAlignment="1">
      <alignment horizontal="center" vertical="center"/>
    </xf>
    <xf numFmtId="44" fontId="0" fillId="0" borderId="0" xfId="2" applyFont="1"/>
    <xf numFmtId="168" fontId="0" fillId="0" borderId="0" xfId="2" applyNumberFormat="1" applyFont="1"/>
    <xf numFmtId="0" fontId="22" fillId="17" borderId="24" xfId="0" applyFont="1" applyFill="1" applyBorder="1" applyAlignment="1">
      <alignment horizontal="center" vertical="center" wrapText="1"/>
    </xf>
    <xf numFmtId="0" fontId="12" fillId="2" borderId="0" xfId="0" applyFont="1" applyFill="1" applyAlignment="1">
      <alignment horizontal="center" vertical="center" wrapText="1"/>
    </xf>
    <xf numFmtId="0" fontId="0" fillId="0" borderId="0" xfId="0" applyAlignment="1">
      <alignment horizontal="left" indent="1"/>
    </xf>
    <xf numFmtId="0" fontId="0" fillId="0" borderId="0" xfId="0" applyAlignment="1">
      <alignment horizontal="left" wrapText="1" indent="1"/>
    </xf>
    <xf numFmtId="166" fontId="0" fillId="19" borderId="12" xfId="2" applyNumberFormat="1" applyFont="1" applyFill="1" applyBorder="1"/>
    <xf numFmtId="0" fontId="25" fillId="6" borderId="2" xfId="0" applyFont="1" applyFill="1" applyBorder="1" applyAlignment="1">
      <alignment horizontal="center" vertical="center"/>
    </xf>
    <xf numFmtId="0" fontId="26" fillId="2" borderId="9" xfId="0" applyFont="1" applyFill="1" applyBorder="1" applyAlignment="1">
      <alignment horizontal="center" vertical="center"/>
    </xf>
    <xf numFmtId="0" fontId="26" fillId="2" borderId="11" xfId="0" applyFont="1" applyFill="1" applyBorder="1" applyAlignment="1">
      <alignment horizontal="center" vertical="center"/>
    </xf>
    <xf numFmtId="0" fontId="26" fillId="2" borderId="14" xfId="0" applyFont="1" applyFill="1" applyBorder="1" applyAlignment="1">
      <alignment horizontal="center" vertical="center"/>
    </xf>
    <xf numFmtId="0" fontId="26" fillId="2" borderId="16" xfId="0" applyFont="1" applyFill="1" applyBorder="1" applyAlignment="1">
      <alignment horizontal="center" vertical="center"/>
    </xf>
    <xf numFmtId="0" fontId="11" fillId="8" borderId="25" xfId="0" applyFont="1" applyFill="1" applyBorder="1" applyAlignment="1">
      <alignment horizontal="center" vertical="center" wrapText="1"/>
    </xf>
    <xf numFmtId="165" fontId="11" fillId="8" borderId="25" xfId="0" applyNumberFormat="1" applyFont="1" applyFill="1" applyBorder="1" applyAlignment="1">
      <alignment horizontal="center" vertical="center" wrapText="1"/>
    </xf>
    <xf numFmtId="0" fontId="12" fillId="3" borderId="18" xfId="0" applyFont="1" applyFill="1" applyBorder="1" applyAlignment="1">
      <alignment horizontal="center" vertical="center"/>
    </xf>
    <xf numFmtId="0" fontId="12" fillId="3" borderId="25" xfId="0" applyFont="1" applyFill="1" applyBorder="1" applyAlignment="1">
      <alignment horizontal="center" vertical="center"/>
    </xf>
    <xf numFmtId="0" fontId="11" fillId="8" borderId="18" xfId="0" applyFont="1" applyFill="1" applyBorder="1" applyAlignment="1">
      <alignment horizontal="justify" vertical="center" wrapText="1"/>
    </xf>
    <xf numFmtId="0" fontId="11" fillId="8" borderId="17" xfId="0" applyFont="1" applyFill="1" applyBorder="1" applyAlignment="1" applyProtection="1">
      <alignment horizontal="center" vertical="center"/>
      <protection locked="0"/>
    </xf>
    <xf numFmtId="0" fontId="11" fillId="8" borderId="1" xfId="0" applyFont="1" applyFill="1" applyBorder="1" applyAlignment="1" applyProtection="1">
      <alignment horizontal="center" vertical="center"/>
      <protection locked="0"/>
    </xf>
    <xf numFmtId="9" fontId="11" fillId="8" borderId="1" xfId="3" applyFont="1" applyFill="1" applyBorder="1" applyAlignment="1" applyProtection="1">
      <alignment horizontal="center" vertical="center"/>
      <protection locked="0"/>
    </xf>
    <xf numFmtId="0" fontId="11" fillId="8" borderId="0" xfId="0" applyFont="1" applyFill="1" applyAlignment="1" applyProtection="1">
      <alignment horizontal="center" vertical="center"/>
      <protection locked="0"/>
    </xf>
    <xf numFmtId="166" fontId="11" fillId="8" borderId="1" xfId="2" applyNumberFormat="1" applyFont="1" applyFill="1" applyBorder="1" applyAlignment="1" applyProtection="1">
      <alignment horizontal="center" vertical="center"/>
      <protection locked="0"/>
    </xf>
    <xf numFmtId="0" fontId="11" fillId="2" borderId="22" xfId="0" applyFont="1" applyFill="1" applyBorder="1" applyAlignment="1">
      <alignment horizontal="justify" vertical="center"/>
    </xf>
    <xf numFmtId="0" fontId="11" fillId="2" borderId="0" xfId="0" applyFont="1" applyFill="1" applyAlignment="1">
      <alignment horizontal="justify" vertical="center"/>
    </xf>
    <xf numFmtId="0" fontId="11" fillId="2" borderId="23" xfId="0" applyFont="1" applyFill="1" applyBorder="1" applyAlignment="1">
      <alignment horizontal="justify" vertical="center"/>
    </xf>
    <xf numFmtId="0" fontId="0" fillId="19" borderId="0" xfId="0" applyFill="1" applyAlignment="1">
      <alignment horizontal="center" vertical="center"/>
    </xf>
    <xf numFmtId="0" fontId="11" fillId="2" borderId="22" xfId="0" applyFont="1" applyFill="1" applyBorder="1" applyAlignment="1">
      <alignment horizontal="left" vertical="center"/>
    </xf>
    <xf numFmtId="0" fontId="11" fillId="0" borderId="23" xfId="0" applyFont="1" applyBorder="1" applyAlignment="1">
      <alignment horizontal="justify" vertical="center"/>
    </xf>
    <xf numFmtId="165" fontId="0" fillId="2" borderId="0" xfId="0" applyNumberFormat="1" applyFill="1" applyAlignment="1">
      <alignment horizontal="center" vertical="center"/>
    </xf>
    <xf numFmtId="41" fontId="0" fillId="2" borderId="0" xfId="4" applyFont="1" applyFill="1" applyAlignment="1">
      <alignment horizontal="center" vertical="center"/>
    </xf>
    <xf numFmtId="0" fontId="0" fillId="2" borderId="0" xfId="0" applyFill="1" applyAlignment="1">
      <alignment horizontal="left" vertical="center"/>
    </xf>
    <xf numFmtId="0" fontId="27" fillId="19" borderId="0" xfId="0" applyFont="1" applyFill="1" applyAlignment="1">
      <alignment horizontal="left" vertical="center"/>
    </xf>
    <xf numFmtId="0" fontId="3" fillId="0" borderId="0" xfId="0" applyFont="1" applyAlignment="1">
      <alignment horizontal="center" vertical="center"/>
    </xf>
    <xf numFmtId="0" fontId="29" fillId="0" borderId="0" xfId="0" applyFont="1" applyAlignment="1">
      <alignment horizontal="center"/>
    </xf>
    <xf numFmtId="0" fontId="3" fillId="0" borderId="33" xfId="0" applyFont="1" applyBorder="1"/>
    <xf numFmtId="0" fontId="3" fillId="0" borderId="33" xfId="0" applyFont="1" applyBorder="1" applyAlignment="1">
      <alignment horizontal="center"/>
    </xf>
    <xf numFmtId="0" fontId="0" fillId="0" borderId="34" xfId="0" applyBorder="1"/>
    <xf numFmtId="3" fontId="0" fillId="0" borderId="34" xfId="0" applyNumberFormat="1" applyBorder="1"/>
    <xf numFmtId="10" fontId="0" fillId="0" borderId="0" xfId="3" applyNumberFormat="1" applyFont="1"/>
    <xf numFmtId="0" fontId="0" fillId="0" borderId="35" xfId="0" applyBorder="1"/>
    <xf numFmtId="3" fontId="0" fillId="0" borderId="35" xfId="0" applyNumberFormat="1" applyBorder="1"/>
    <xf numFmtId="10" fontId="0" fillId="13" borderId="0" xfId="3" applyNumberFormat="1" applyFont="1" applyFill="1"/>
    <xf numFmtId="0" fontId="0" fillId="13" borderId="0" xfId="0" applyFill="1"/>
    <xf numFmtId="43" fontId="0" fillId="2" borderId="0" xfId="0" applyNumberFormat="1" applyFill="1" applyAlignment="1">
      <alignment horizontal="center" vertical="center"/>
    </xf>
    <xf numFmtId="0" fontId="0" fillId="2" borderId="0" xfId="0" applyFill="1" applyAlignment="1">
      <alignment horizontal="right" vertical="center"/>
    </xf>
    <xf numFmtId="0" fontId="30" fillId="0" borderId="0" xfId="6"/>
    <xf numFmtId="0" fontId="0" fillId="2" borderId="0" xfId="0" applyFill="1" applyAlignment="1">
      <alignment vertical="center"/>
    </xf>
    <xf numFmtId="44" fontId="0" fillId="19" borderId="0" xfId="2" applyFont="1" applyFill="1"/>
    <xf numFmtId="4" fontId="0" fillId="0" borderId="0" xfId="0" applyNumberFormat="1" applyAlignment="1">
      <alignment horizontal="center" vertical="center" wrapText="1"/>
    </xf>
    <xf numFmtId="9" fontId="0" fillId="2" borderId="0" xfId="3" applyFont="1" applyFill="1" applyAlignment="1">
      <alignment horizontal="left" vertical="center"/>
    </xf>
    <xf numFmtId="3" fontId="11" fillId="8" borderId="25" xfId="0" applyNumberFormat="1" applyFont="1" applyFill="1" applyBorder="1" applyAlignment="1">
      <alignment horizontal="center" vertical="center" wrapText="1"/>
    </xf>
    <xf numFmtId="0" fontId="11" fillId="2" borderId="0" xfId="0" applyFont="1" applyFill="1" applyAlignment="1">
      <alignment horizontal="right"/>
    </xf>
    <xf numFmtId="0" fontId="0" fillId="0" borderId="0" xfId="0" applyAlignment="1">
      <alignment horizontal="center"/>
    </xf>
    <xf numFmtId="0" fontId="31" fillId="2" borderId="0" xfId="0" applyFont="1" applyFill="1" applyAlignment="1">
      <alignment horizontal="center" vertical="center"/>
    </xf>
    <xf numFmtId="44" fontId="0" fillId="0" borderId="0" xfId="0" applyNumberFormat="1"/>
    <xf numFmtId="169" fontId="0" fillId="0" borderId="0" xfId="3" applyNumberFormat="1" applyFont="1"/>
    <xf numFmtId="166" fontId="0" fillId="19" borderId="0" xfId="2" applyNumberFormat="1" applyFont="1" applyFill="1"/>
    <xf numFmtId="41" fontId="0" fillId="2" borderId="11" xfId="4" applyFont="1" applyFill="1" applyBorder="1" applyAlignment="1">
      <alignment horizontal="center" vertical="center"/>
    </xf>
    <xf numFmtId="41" fontId="0" fillId="2" borderId="13" xfId="4" applyFont="1" applyFill="1" applyBorder="1" applyAlignment="1">
      <alignment horizontal="center" vertical="center"/>
    </xf>
    <xf numFmtId="41" fontId="0" fillId="2" borderId="16" xfId="4" applyFont="1" applyFill="1" applyBorder="1" applyAlignment="1">
      <alignment horizontal="center" vertical="center"/>
    </xf>
    <xf numFmtId="3" fontId="0" fillId="0" borderId="0" xfId="0" applyNumberFormat="1" applyAlignment="1">
      <alignment horizontal="center" vertical="center" wrapText="1"/>
    </xf>
    <xf numFmtId="9" fontId="0" fillId="0" borderId="0" xfId="0" applyNumberFormat="1" applyAlignment="1">
      <alignment horizontal="center" vertical="center" wrapText="1"/>
    </xf>
    <xf numFmtId="41" fontId="0" fillId="0" borderId="0" xfId="4" applyFont="1"/>
    <xf numFmtId="6" fontId="32" fillId="0" borderId="0" xfId="0" applyNumberFormat="1" applyFont="1"/>
    <xf numFmtId="6" fontId="0" fillId="0" borderId="0" xfId="0" quotePrefix="1" applyNumberFormat="1"/>
    <xf numFmtId="6" fontId="0" fillId="19" borderId="0" xfId="0" applyNumberFormat="1" applyFill="1"/>
    <xf numFmtId="170" fontId="0" fillId="0" borderId="0" xfId="4" applyNumberFormat="1" applyFont="1"/>
    <xf numFmtId="166" fontId="0" fillId="0" borderId="12" xfId="2" applyNumberFormat="1" applyFont="1" applyFill="1" applyBorder="1"/>
    <xf numFmtId="0" fontId="11" fillId="8" borderId="19" xfId="0" applyFont="1" applyFill="1" applyBorder="1" applyAlignment="1">
      <alignment horizontal="center" vertical="center" wrapText="1"/>
    </xf>
    <xf numFmtId="0" fontId="12" fillId="3" borderId="19" xfId="0" applyFont="1" applyFill="1" applyBorder="1" applyAlignment="1">
      <alignment horizontal="center" vertical="center"/>
    </xf>
    <xf numFmtId="0" fontId="35" fillId="8" borderId="24" xfId="6" applyFont="1" applyFill="1" applyBorder="1" applyAlignment="1">
      <alignment horizontal="center" vertical="center" wrapText="1"/>
    </xf>
    <xf numFmtId="0" fontId="0" fillId="0" borderId="0" xfId="0" applyAlignment="1">
      <alignment horizontal="left"/>
    </xf>
    <xf numFmtId="0" fontId="34" fillId="2" borderId="0" xfId="0" applyFont="1" applyFill="1" applyAlignment="1">
      <alignment horizontal="center" vertical="center"/>
    </xf>
    <xf numFmtId="0" fontId="12" fillId="8" borderId="22" xfId="0" applyFont="1" applyFill="1" applyBorder="1" applyAlignment="1">
      <alignment horizontal="center" vertical="center" wrapText="1"/>
    </xf>
    <xf numFmtId="0" fontId="12" fillId="8" borderId="0" xfId="0" applyFont="1" applyFill="1" applyAlignment="1">
      <alignment horizontal="center" vertical="center" wrapText="1"/>
    </xf>
    <xf numFmtId="166" fontId="12" fillId="8" borderId="23" xfId="2" applyNumberFormat="1" applyFont="1" applyFill="1" applyBorder="1" applyAlignment="1">
      <alignment vertical="center" wrapText="1"/>
    </xf>
    <xf numFmtId="0" fontId="15" fillId="6" borderId="0" xfId="0" applyFont="1" applyFill="1" applyAlignment="1">
      <alignment horizontal="left"/>
    </xf>
    <xf numFmtId="0" fontId="14" fillId="9" borderId="0" xfId="0" applyFont="1" applyFill="1" applyAlignment="1">
      <alignment horizontal="justify" vertical="center" wrapText="1"/>
    </xf>
    <xf numFmtId="0" fontId="13" fillId="6" borderId="0" xfId="0" applyFont="1" applyFill="1" applyAlignment="1" applyProtection="1">
      <alignment horizontal="center"/>
      <protection locked="0"/>
    </xf>
    <xf numFmtId="0" fontId="14" fillId="9" borderId="0" xfId="0" applyFont="1" applyFill="1" applyAlignment="1">
      <alignment horizontal="justify" vertical="justify" wrapText="1"/>
    </xf>
    <xf numFmtId="0" fontId="19" fillId="9" borderId="0" xfId="0" applyFont="1" applyFill="1" applyAlignment="1">
      <alignment horizontal="center"/>
    </xf>
    <xf numFmtId="0" fontId="13" fillId="6" borderId="0" xfId="0" applyFont="1" applyFill="1" applyAlignment="1">
      <alignment horizontal="center"/>
    </xf>
    <xf numFmtId="0" fontId="12" fillId="8" borderId="27" xfId="0" applyFont="1" applyFill="1" applyBorder="1" applyAlignment="1">
      <alignment horizontal="center" vertical="center" wrapText="1"/>
    </xf>
    <xf numFmtId="0" fontId="12" fillId="8" borderId="21"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0" xfId="0" applyFont="1" applyFill="1" applyAlignment="1">
      <alignment horizontal="center" vertical="center" wrapText="1"/>
    </xf>
    <xf numFmtId="0" fontId="12" fillId="3" borderId="23" xfId="0" applyFont="1" applyFill="1" applyBorder="1" applyAlignment="1">
      <alignment horizontal="center" vertical="center" wrapText="1"/>
    </xf>
    <xf numFmtId="0" fontId="11" fillId="8" borderId="19" xfId="0" applyFont="1" applyFill="1" applyBorder="1" applyAlignment="1">
      <alignment horizontal="center" vertical="center" wrapText="1"/>
    </xf>
    <xf numFmtId="0" fontId="11" fillId="8" borderId="26" xfId="0" applyFont="1" applyFill="1" applyBorder="1" applyAlignment="1">
      <alignment horizontal="center" vertical="center" wrapText="1"/>
    </xf>
    <xf numFmtId="0" fontId="12" fillId="16" borderId="19" xfId="0" applyFont="1" applyFill="1" applyBorder="1" applyAlignment="1">
      <alignment horizontal="center" vertical="center"/>
    </xf>
    <xf numFmtId="0" fontId="12" fillId="16" borderId="26" xfId="0" applyFont="1" applyFill="1" applyBorder="1" applyAlignment="1">
      <alignment horizontal="center" vertical="center"/>
    </xf>
    <xf numFmtId="165" fontId="11" fillId="8" borderId="19" xfId="1" applyNumberFormat="1" applyFont="1" applyFill="1" applyBorder="1" applyAlignment="1">
      <alignment horizontal="center" vertical="center" wrapText="1"/>
    </xf>
    <xf numFmtId="165" fontId="11" fillId="8" borderId="26" xfId="1" applyNumberFormat="1" applyFont="1" applyFill="1" applyBorder="1" applyAlignment="1">
      <alignment horizontal="center" vertical="center" wrapText="1"/>
    </xf>
    <xf numFmtId="9" fontId="11" fillId="8" borderId="19" xfId="3" applyFont="1" applyFill="1" applyBorder="1" applyAlignment="1">
      <alignment horizontal="center" vertical="center" wrapText="1"/>
    </xf>
    <xf numFmtId="9" fontId="11" fillId="8" borderId="26" xfId="3" applyFont="1" applyFill="1" applyBorder="1" applyAlignment="1">
      <alignment horizontal="center" vertical="center" wrapText="1"/>
    </xf>
    <xf numFmtId="0" fontId="23" fillId="18" borderId="19" xfId="0" applyFont="1" applyFill="1" applyBorder="1" applyAlignment="1">
      <alignment horizontal="center" vertical="center" wrapText="1"/>
    </xf>
    <xf numFmtId="0" fontId="23" fillId="18" borderId="26" xfId="0" applyFont="1" applyFill="1" applyBorder="1" applyAlignment="1">
      <alignment horizontal="center" vertical="center" wrapText="1"/>
    </xf>
    <xf numFmtId="0" fontId="11" fillId="8" borderId="22" xfId="0" applyFont="1" applyFill="1" applyBorder="1" applyAlignment="1">
      <alignment horizontal="justify" vertical="center" wrapText="1"/>
    </xf>
    <xf numFmtId="0" fontId="11" fillId="8" borderId="0" xfId="0" applyFont="1" applyFill="1" applyAlignment="1">
      <alignment horizontal="justify" vertical="center" wrapText="1"/>
    </xf>
    <xf numFmtId="0" fontId="11" fillId="8" borderId="23" xfId="0" applyFont="1" applyFill="1" applyBorder="1" applyAlignment="1">
      <alignment horizontal="justify" vertical="center" wrapText="1"/>
    </xf>
    <xf numFmtId="0" fontId="25" fillId="6" borderId="22" xfId="0" applyFont="1" applyFill="1" applyBorder="1" applyAlignment="1">
      <alignment horizontal="center" vertical="center" wrapText="1"/>
    </xf>
    <xf numFmtId="0" fontId="25" fillId="6" borderId="0" xfId="0" applyFont="1" applyFill="1" applyAlignment="1">
      <alignment horizontal="center" vertical="center" wrapText="1"/>
    </xf>
    <xf numFmtId="0" fontId="25" fillId="6" borderId="23" xfId="0" applyFont="1" applyFill="1" applyBorder="1" applyAlignment="1">
      <alignment horizontal="center" vertical="center" wrapText="1"/>
    </xf>
    <xf numFmtId="0" fontId="11" fillId="8" borderId="22" xfId="0" applyFont="1" applyFill="1" applyBorder="1" applyAlignment="1">
      <alignment horizontal="center" vertical="center" wrapText="1"/>
    </xf>
    <xf numFmtId="0" fontId="11" fillId="8" borderId="0" xfId="0" applyFont="1" applyFill="1" applyAlignment="1">
      <alignment horizontal="center" vertical="center" wrapText="1"/>
    </xf>
    <xf numFmtId="0" fontId="11" fillId="8" borderId="23"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25" fillId="6" borderId="22" xfId="0" applyFont="1" applyFill="1" applyBorder="1" applyAlignment="1">
      <alignment horizontal="center" vertical="center"/>
    </xf>
    <xf numFmtId="0" fontId="25" fillId="6" borderId="0" xfId="0" applyFont="1" applyFill="1" applyAlignment="1">
      <alignment horizontal="center" vertical="center"/>
    </xf>
    <xf numFmtId="0" fontId="25" fillId="6" borderId="23" xfId="0" applyFont="1" applyFill="1" applyBorder="1" applyAlignment="1">
      <alignment horizontal="center" vertical="center"/>
    </xf>
    <xf numFmtId="0" fontId="12" fillId="3" borderId="19" xfId="0" applyFont="1" applyFill="1" applyBorder="1" applyAlignment="1">
      <alignment horizontal="center" vertical="center"/>
    </xf>
    <xf numFmtId="0" fontId="12" fillId="3" borderId="26" xfId="0" applyFont="1" applyFill="1" applyBorder="1" applyAlignment="1">
      <alignment horizontal="center" vertical="center"/>
    </xf>
    <xf numFmtId="0" fontId="11" fillId="8" borderId="22" xfId="0" applyFont="1" applyFill="1" applyBorder="1" applyAlignment="1" applyProtection="1">
      <alignment horizontal="justify" vertical="center" wrapText="1"/>
      <protection locked="0"/>
    </xf>
    <xf numFmtId="0" fontId="11" fillId="8" borderId="0" xfId="0" applyFont="1" applyFill="1" applyAlignment="1" applyProtection="1">
      <alignment horizontal="justify" vertical="center" wrapText="1"/>
      <protection locked="0"/>
    </xf>
    <xf numFmtId="0" fontId="11" fillId="8" borderId="23" xfId="0" applyFont="1" applyFill="1" applyBorder="1" applyAlignment="1" applyProtection="1">
      <alignment horizontal="justify" vertical="center" wrapText="1"/>
      <protection locked="0"/>
    </xf>
    <xf numFmtId="0" fontId="25" fillId="6" borderId="6" xfId="0" applyFont="1" applyFill="1" applyBorder="1" applyAlignment="1">
      <alignment horizontal="center" vertical="center"/>
    </xf>
    <xf numFmtId="0" fontId="25" fillId="6" borderId="7" xfId="0" applyFont="1" applyFill="1" applyBorder="1" applyAlignment="1">
      <alignment horizontal="center" vertical="center"/>
    </xf>
    <xf numFmtId="0" fontId="25" fillId="6" borderId="3" xfId="0" applyFont="1" applyFill="1" applyBorder="1" applyAlignment="1">
      <alignment horizontal="center" vertical="center"/>
    </xf>
    <xf numFmtId="0" fontId="25" fillId="6" borderId="4" xfId="0" applyFont="1" applyFill="1" applyBorder="1" applyAlignment="1">
      <alignment horizontal="center" vertical="center"/>
    </xf>
    <xf numFmtId="0" fontId="12" fillId="7" borderId="9" xfId="0" applyFont="1" applyFill="1" applyBorder="1" applyAlignment="1">
      <alignment horizontal="left" vertical="center"/>
    </xf>
    <xf numFmtId="0" fontId="12" fillId="7" borderId="11" xfId="0" applyFont="1" applyFill="1" applyBorder="1" applyAlignment="1">
      <alignment horizontal="left" vertical="center"/>
    </xf>
    <xf numFmtId="0" fontId="12" fillId="7" borderId="12" xfId="0" applyFont="1" applyFill="1" applyBorder="1" applyAlignment="1">
      <alignment horizontal="left" vertical="center"/>
    </xf>
    <xf numFmtId="0" fontId="12" fillId="7" borderId="13" xfId="0" applyFont="1" applyFill="1" applyBorder="1" applyAlignment="1">
      <alignment horizontal="left" vertical="center"/>
    </xf>
    <xf numFmtId="0" fontId="11" fillId="2" borderId="12" xfId="0" applyFont="1" applyFill="1" applyBorder="1" applyAlignment="1">
      <alignment horizontal="right" vertical="center"/>
    </xf>
    <xf numFmtId="0" fontId="11" fillId="2" borderId="13" xfId="0" applyFont="1" applyFill="1" applyBorder="1" applyAlignment="1">
      <alignment horizontal="right" vertical="center"/>
    </xf>
    <xf numFmtId="0" fontId="12" fillId="8" borderId="22" xfId="0" applyFont="1" applyFill="1" applyBorder="1" applyAlignment="1">
      <alignment horizontal="justify" vertical="center" wrapText="1"/>
    </xf>
    <xf numFmtId="0" fontId="12" fillId="8" borderId="0" xfId="0" applyFont="1" applyFill="1" applyAlignment="1">
      <alignment horizontal="justify" vertical="center" wrapText="1"/>
    </xf>
    <xf numFmtId="0" fontId="12" fillId="8" borderId="23" xfId="0" applyFont="1" applyFill="1" applyBorder="1" applyAlignment="1">
      <alignment horizontal="justify" vertical="center" wrapText="1"/>
    </xf>
    <xf numFmtId="0" fontId="12" fillId="8" borderId="22" xfId="0" applyFont="1" applyFill="1" applyBorder="1" applyAlignment="1">
      <alignment horizontal="left" vertical="center" wrapText="1"/>
    </xf>
    <xf numFmtId="0" fontId="12" fillId="8" borderId="0" xfId="0" applyFont="1" applyFill="1" applyAlignment="1">
      <alignment horizontal="left" vertical="center" wrapText="1"/>
    </xf>
    <xf numFmtId="0" fontId="12" fillId="8" borderId="23" xfId="0" applyFont="1" applyFill="1" applyBorder="1" applyAlignment="1">
      <alignment horizontal="left" vertical="center" wrapText="1"/>
    </xf>
    <xf numFmtId="0" fontId="11" fillId="8" borderId="22" xfId="0" applyFont="1" applyFill="1" applyBorder="1" applyAlignment="1">
      <alignment horizontal="justify" vertical="top" wrapText="1"/>
    </xf>
    <xf numFmtId="0" fontId="11" fillId="8" borderId="0" xfId="0" applyFont="1" applyFill="1" applyAlignment="1">
      <alignment horizontal="justify" vertical="top" wrapText="1"/>
    </xf>
    <xf numFmtId="0" fontId="11" fillId="8" borderId="23" xfId="0" applyFont="1" applyFill="1" applyBorder="1" applyAlignment="1">
      <alignment horizontal="justify" vertical="top" wrapText="1"/>
    </xf>
    <xf numFmtId="0" fontId="25" fillId="20" borderId="22" xfId="0" applyFont="1" applyFill="1" applyBorder="1" applyAlignment="1">
      <alignment horizontal="center" vertical="center"/>
    </xf>
    <xf numFmtId="0" fontId="25" fillId="20" borderId="0" xfId="0" applyFont="1" applyFill="1" applyAlignment="1">
      <alignment horizontal="center" vertical="center"/>
    </xf>
    <xf numFmtId="0" fontId="25" fillId="20" borderId="23" xfId="0" applyFont="1" applyFill="1" applyBorder="1" applyAlignment="1">
      <alignment horizontal="center" vertical="center"/>
    </xf>
    <xf numFmtId="0" fontId="12" fillId="7" borderId="14" xfId="0" applyFont="1" applyFill="1" applyBorder="1" applyAlignment="1">
      <alignment horizontal="left" vertical="center"/>
    </xf>
    <xf numFmtId="0" fontId="12" fillId="7" borderId="16" xfId="0" applyFont="1" applyFill="1" applyBorder="1" applyAlignment="1">
      <alignment horizontal="left" vertical="center"/>
    </xf>
    <xf numFmtId="0" fontId="3" fillId="2" borderId="15" xfId="0" applyFont="1" applyFill="1" applyBorder="1" applyAlignment="1">
      <alignment horizontal="center" vertical="center"/>
    </xf>
    <xf numFmtId="0" fontId="10" fillId="6" borderId="6" xfId="0" applyFont="1" applyFill="1" applyBorder="1" applyAlignment="1">
      <alignment horizontal="center" vertical="center"/>
    </xf>
    <xf numFmtId="0" fontId="10" fillId="6" borderId="7" xfId="0" applyFont="1" applyFill="1" applyBorder="1" applyAlignment="1">
      <alignment horizontal="center" vertical="center"/>
    </xf>
    <xf numFmtId="0" fontId="6" fillId="6" borderId="6" xfId="0" applyFont="1" applyFill="1" applyBorder="1" applyAlignment="1">
      <alignment horizontal="center" vertical="center"/>
    </xf>
    <xf numFmtId="0" fontId="6" fillId="6" borderId="8" xfId="0" applyFont="1" applyFill="1" applyBorder="1" applyAlignment="1">
      <alignment horizontal="center" vertical="center"/>
    </xf>
    <xf numFmtId="0" fontId="6" fillId="6" borderId="7" xfId="0" applyFont="1" applyFill="1" applyBorder="1" applyAlignment="1">
      <alignment horizontal="center" vertic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12" xfId="0" applyFill="1" applyBorder="1" applyAlignment="1">
      <alignment horizontal="center" vertical="center" wrapText="1"/>
    </xf>
    <xf numFmtId="0" fontId="0" fillId="2" borderId="0" xfId="0" applyFill="1" applyAlignment="1">
      <alignment horizontal="center" vertical="center" wrapText="1"/>
    </xf>
    <xf numFmtId="0" fontId="0" fillId="2" borderId="13"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15" xfId="0" applyFill="1" applyBorder="1" applyAlignment="1">
      <alignment horizontal="center" vertical="center" wrapText="1"/>
    </xf>
    <xf numFmtId="0" fontId="0" fillId="2" borderId="16" xfId="0" applyFill="1" applyBorder="1" applyAlignment="1">
      <alignment horizontal="center" vertical="center" wrapText="1"/>
    </xf>
    <xf numFmtId="0" fontId="6" fillId="6" borderId="3"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4" xfId="0" applyFont="1" applyFill="1"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0" fontId="0" fillId="5" borderId="0" xfId="0" applyFill="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wrapText="1"/>
    </xf>
    <xf numFmtId="0" fontId="3" fillId="15" borderId="0" xfId="0" applyFont="1" applyFill="1" applyAlignment="1">
      <alignment horizontal="center" vertical="center" wrapText="1"/>
    </xf>
    <xf numFmtId="6" fontId="0" fillId="0" borderId="0" xfId="0" applyNumberFormat="1" applyAlignment="1">
      <alignment horizontal="center"/>
    </xf>
    <xf numFmtId="6" fontId="0" fillId="0" borderId="13" xfId="0" applyNumberFormat="1" applyBorder="1" applyAlignment="1">
      <alignment horizontal="center"/>
    </xf>
    <xf numFmtId="3" fontId="3" fillId="10" borderId="0" xfId="0" applyNumberFormat="1" applyFont="1" applyFill="1" applyAlignment="1">
      <alignment horizontal="center" vertical="center"/>
    </xf>
    <xf numFmtId="0" fontId="3" fillId="10" borderId="0" xfId="0" applyFont="1" applyFill="1" applyAlignment="1">
      <alignment horizontal="center" vertical="center"/>
    </xf>
    <xf numFmtId="0" fontId="3" fillId="14" borderId="0" xfId="0" applyFont="1" applyFill="1" applyAlignment="1">
      <alignment horizontal="center" vertical="center" wrapText="1"/>
    </xf>
    <xf numFmtId="6" fontId="0" fillId="0" borderId="0" xfId="0" applyNumberFormat="1" applyAlignment="1">
      <alignment horizontal="center" vertical="center"/>
    </xf>
    <xf numFmtId="6" fontId="0" fillId="0" borderId="13" xfId="0" applyNumberFormat="1" applyBorder="1" applyAlignment="1">
      <alignment horizontal="center" vertical="center"/>
    </xf>
    <xf numFmtId="0" fontId="15" fillId="21" borderId="32" xfId="5" applyFont="1" applyFill="1" applyBorder="1" applyAlignment="1">
      <alignment horizontal="center" vertical="center" wrapText="1"/>
    </xf>
    <xf numFmtId="0" fontId="15" fillId="21" borderId="0" xfId="5" applyFont="1" applyFill="1" applyAlignment="1">
      <alignment horizontal="center" vertical="center" wrapText="1"/>
    </xf>
    <xf numFmtId="0" fontId="29" fillId="22" borderId="0" xfId="0" applyFont="1" applyFill="1" applyAlignment="1">
      <alignment horizontal="center"/>
    </xf>
  </cellXfs>
  <cellStyles count="7">
    <cellStyle name="Hipervínculo" xfId="6" builtinId="8"/>
    <cellStyle name="Millares" xfId="1" builtinId="3"/>
    <cellStyle name="Millares [0]" xfId="4" builtinId="6"/>
    <cellStyle name="Moneda" xfId="2" builtinId="4"/>
    <cellStyle name="Normal" xfId="0" builtinId="0"/>
    <cellStyle name="Normal 2 2" xfId="5" xr:uid="{6AB8F30D-235C-4CE6-9D92-7BF91C5388B5}"/>
    <cellStyle name="Porcentaje" xfId="3" builtinId="5"/>
  </cellStyles>
  <dxfs count="69">
    <dxf>
      <alignment horizontal="general" vertical="bottom" textRotation="0" wrapText="1" indent="0" justifyLastLine="0" shrinkToFit="0" readingOrder="0"/>
    </dxf>
    <dxf>
      <alignment horizontal="general" vertical="bottom" textRotation="0" wrapText="1" indent="0" justifyLastLine="0" shrinkToFit="0" readingOrder="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s>
  <tableStyles count="0" defaultTableStyle="TableStyleMedium2" defaultPivotStyle="PivotStyleLight16"/>
  <colors>
    <mruColors>
      <color rgb="FF00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jpeg"/><Relationship Id="rId5" Type="http://schemas.openxmlformats.org/officeDocument/2006/relationships/image" Target="../media/image6.png"/><Relationship Id="rId4" Type="http://schemas.openxmlformats.org/officeDocument/2006/relationships/image" Target="../media/image5.jpg"/></Relationships>
</file>

<file path=xl/drawings/_rels/drawing7.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561975</xdr:colOff>
          <xdr:row>1</xdr:row>
          <xdr:rowOff>57150</xdr:rowOff>
        </xdr:from>
        <xdr:to>
          <xdr:col>14</xdr:col>
          <xdr:colOff>542925</xdr:colOff>
          <xdr:row>3</xdr:row>
          <xdr:rowOff>123825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100" b="1" i="0" u="none" strike="noStrike" baseline="0">
                  <a:solidFill>
                    <a:srgbClr val="333399"/>
                  </a:solidFill>
                  <a:latin typeface="Segoe UI"/>
                  <a:cs typeface="Segoe UI"/>
                </a:rPr>
                <a:t>INSTRUCCIONES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533400</xdr:colOff>
          <xdr:row>4</xdr:row>
          <xdr:rowOff>9525</xdr:rowOff>
        </xdr:from>
        <xdr:to>
          <xdr:col>14</xdr:col>
          <xdr:colOff>542925</xdr:colOff>
          <xdr:row>6</xdr:row>
          <xdr:rowOff>57150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100" b="1" i="0" u="none" strike="noStrike" baseline="0">
                  <a:solidFill>
                    <a:srgbClr val="333399"/>
                  </a:solidFill>
                  <a:latin typeface="Segoe UI"/>
                  <a:cs typeface="Segoe UI"/>
                </a:rPr>
                <a:t>DATOS DE ENTRADA</a:t>
              </a:r>
            </a:p>
          </xdr:txBody>
        </xdr:sp>
        <xdr:clientData fPrintsWithSheet="0"/>
      </xdr:twoCellAnchor>
    </mc:Choice>
    <mc:Fallback/>
  </mc:AlternateContent>
  <xdr:twoCellAnchor editAs="oneCell">
    <xdr:from>
      <xdr:col>0</xdr:col>
      <xdr:colOff>0</xdr:colOff>
      <xdr:row>0</xdr:row>
      <xdr:rowOff>0</xdr:rowOff>
    </xdr:from>
    <xdr:to>
      <xdr:col>12</xdr:col>
      <xdr:colOff>209550</xdr:colOff>
      <xdr:row>17</xdr:row>
      <xdr:rowOff>38100</xdr:rowOff>
    </xdr:to>
    <xdr:pic>
      <xdr:nvPicPr>
        <xdr:cNvPr id="8" name="Imagen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353550" cy="3600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666750</xdr:colOff>
          <xdr:row>2</xdr:row>
          <xdr:rowOff>266700</xdr:rowOff>
        </xdr:from>
        <xdr:to>
          <xdr:col>13</xdr:col>
          <xdr:colOff>676275</xdr:colOff>
          <xdr:row>3</xdr:row>
          <xdr:rowOff>123825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100" b="1" i="0" u="none" strike="noStrike" baseline="0">
                  <a:solidFill>
                    <a:srgbClr val="333399"/>
                  </a:solidFill>
                  <a:latin typeface="Segoe UI"/>
                  <a:cs typeface="Segoe UI"/>
                </a:rPr>
                <a:t>DATOS DE ENTRADA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685800</xdr:colOff>
          <xdr:row>0</xdr:row>
          <xdr:rowOff>142875</xdr:rowOff>
        </xdr:from>
        <xdr:to>
          <xdr:col>13</xdr:col>
          <xdr:colOff>676275</xdr:colOff>
          <xdr:row>2</xdr:row>
          <xdr:rowOff>152400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100" b="1" i="0" u="none" strike="noStrike" baseline="0">
                  <a:solidFill>
                    <a:srgbClr val="333399"/>
                  </a:solidFill>
                  <a:latin typeface="Segoe UI"/>
                  <a:cs typeface="Segoe UI"/>
                </a:rPr>
                <a:t>PORTADA</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247650</xdr:colOff>
          <xdr:row>1</xdr:row>
          <xdr:rowOff>381000</xdr:rowOff>
        </xdr:from>
        <xdr:to>
          <xdr:col>3</xdr:col>
          <xdr:colOff>647700</xdr:colOff>
          <xdr:row>1</xdr:row>
          <xdr:rowOff>638175</xdr:rowOff>
        </xdr:to>
        <xdr:sp macro="" textlink="">
          <xdr:nvSpPr>
            <xdr:cNvPr id="1166" name="Button 142" hidden="1">
              <a:extLst>
                <a:ext uri="{63B3BB69-23CF-44E3-9099-C40C66FF867C}">
                  <a14:compatExt spid="_x0000_s1166"/>
                </a:ext>
                <a:ext uri="{FF2B5EF4-FFF2-40B4-BE49-F238E27FC236}">
                  <a16:creationId xmlns:a16="http://schemas.microsoft.com/office/drawing/2014/main" id="{00000000-0008-0000-0200-00008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000" b="1" i="0" u="none" strike="noStrike" baseline="0">
                  <a:solidFill>
                    <a:srgbClr val="333399"/>
                  </a:solidFill>
                  <a:latin typeface="Segoe UI"/>
                  <a:cs typeface="Segoe UI"/>
                </a:rPr>
                <a:t>PORTADA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247650</xdr:colOff>
          <xdr:row>1</xdr:row>
          <xdr:rowOff>723900</xdr:rowOff>
        </xdr:from>
        <xdr:to>
          <xdr:col>3</xdr:col>
          <xdr:colOff>647700</xdr:colOff>
          <xdr:row>1</xdr:row>
          <xdr:rowOff>981075</xdr:rowOff>
        </xdr:to>
        <xdr:sp macro="" textlink="">
          <xdr:nvSpPr>
            <xdr:cNvPr id="1167" name="Button 143" hidden="1">
              <a:extLst>
                <a:ext uri="{63B3BB69-23CF-44E3-9099-C40C66FF867C}">
                  <a14:compatExt spid="_x0000_s1167"/>
                </a:ext>
                <a:ext uri="{FF2B5EF4-FFF2-40B4-BE49-F238E27FC236}">
                  <a16:creationId xmlns:a16="http://schemas.microsoft.com/office/drawing/2014/main" id="{00000000-0008-0000-0200-00008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000" b="1" i="0" u="none" strike="noStrike" baseline="0">
                  <a:solidFill>
                    <a:srgbClr val="333399"/>
                  </a:solidFill>
                  <a:latin typeface="Segoe UI"/>
                  <a:cs typeface="Segoe UI"/>
                </a:rPr>
                <a:t>RESULTADOS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247650</xdr:colOff>
          <xdr:row>1</xdr:row>
          <xdr:rowOff>9525</xdr:rowOff>
        </xdr:from>
        <xdr:to>
          <xdr:col>3</xdr:col>
          <xdr:colOff>647700</xdr:colOff>
          <xdr:row>1</xdr:row>
          <xdr:rowOff>314325</xdr:rowOff>
        </xdr:to>
        <xdr:sp macro="" textlink="">
          <xdr:nvSpPr>
            <xdr:cNvPr id="1168" name="Button 144" hidden="1">
              <a:extLst>
                <a:ext uri="{63B3BB69-23CF-44E3-9099-C40C66FF867C}">
                  <a14:compatExt spid="_x0000_s1168"/>
                </a:ext>
                <a:ext uri="{FF2B5EF4-FFF2-40B4-BE49-F238E27FC236}">
                  <a16:creationId xmlns:a16="http://schemas.microsoft.com/office/drawing/2014/main" id="{00000000-0008-0000-0200-00009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000" b="1" i="0" u="none" strike="noStrike" baseline="0">
                  <a:solidFill>
                    <a:srgbClr val="333399"/>
                  </a:solidFill>
                  <a:latin typeface="Segoe UI"/>
                  <a:cs typeface="Segoe UI"/>
                </a:rPr>
                <a:t>INSTRUCCIONES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438150</xdr:colOff>
          <xdr:row>59</xdr:row>
          <xdr:rowOff>200025</xdr:rowOff>
        </xdr:from>
        <xdr:to>
          <xdr:col>3</xdr:col>
          <xdr:colOff>676275</xdr:colOff>
          <xdr:row>61</xdr:row>
          <xdr:rowOff>19050</xdr:rowOff>
        </xdr:to>
        <xdr:sp macro="" textlink="">
          <xdr:nvSpPr>
            <xdr:cNvPr id="1205" name="Button 181" hidden="1">
              <a:extLst>
                <a:ext uri="{63B3BB69-23CF-44E3-9099-C40C66FF867C}">
                  <a14:compatExt spid="_x0000_s1205"/>
                </a:ext>
                <a:ext uri="{FF2B5EF4-FFF2-40B4-BE49-F238E27FC236}">
                  <a16:creationId xmlns:a16="http://schemas.microsoft.com/office/drawing/2014/main" id="{00000000-0008-0000-0200-0000B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000" b="1" i="0" u="none" strike="noStrike" baseline="0">
                  <a:solidFill>
                    <a:srgbClr val="333399"/>
                  </a:solidFill>
                  <a:latin typeface="Segoe UI"/>
                  <a:cs typeface="Segoe UI"/>
                </a:rPr>
                <a:t>GENERAR RESULTADOS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523875</xdr:colOff>
          <xdr:row>15</xdr:row>
          <xdr:rowOff>76200</xdr:rowOff>
        </xdr:from>
        <xdr:to>
          <xdr:col>1</xdr:col>
          <xdr:colOff>3752850</xdr:colOff>
          <xdr:row>15</xdr:row>
          <xdr:rowOff>333375</xdr:rowOff>
        </xdr:to>
        <xdr:sp macro="" textlink="">
          <xdr:nvSpPr>
            <xdr:cNvPr id="1283" name="Button 259" hidden="1">
              <a:extLst>
                <a:ext uri="{63B3BB69-23CF-44E3-9099-C40C66FF867C}">
                  <a14:compatExt spid="_x0000_s1283"/>
                </a:ext>
                <a:ext uri="{FF2B5EF4-FFF2-40B4-BE49-F238E27FC236}">
                  <a16:creationId xmlns:a16="http://schemas.microsoft.com/office/drawing/2014/main" id="{00000000-0008-0000-0200-00000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000" b="1" i="0" u="none" strike="noStrike" baseline="0">
                  <a:solidFill>
                    <a:srgbClr val="333399"/>
                  </a:solidFill>
                  <a:latin typeface="Segoe UI"/>
                  <a:cs typeface="Segoe UI"/>
                </a:rPr>
                <a:t>MUNICIPIOS PROYECTO REGIONAL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276225</xdr:colOff>
          <xdr:row>0</xdr:row>
          <xdr:rowOff>9525</xdr:rowOff>
        </xdr:from>
        <xdr:to>
          <xdr:col>4</xdr:col>
          <xdr:colOff>0</xdr:colOff>
          <xdr:row>0</xdr:row>
          <xdr:rowOff>523875</xdr:rowOff>
        </xdr:to>
        <xdr:sp macro="" textlink="">
          <xdr:nvSpPr>
            <xdr:cNvPr id="40971" name="Button 11" hidden="1">
              <a:extLst>
                <a:ext uri="{63B3BB69-23CF-44E3-9099-C40C66FF867C}">
                  <a14:compatExt spid="_x0000_s40971"/>
                </a:ext>
                <a:ext uri="{FF2B5EF4-FFF2-40B4-BE49-F238E27FC236}">
                  <a16:creationId xmlns:a16="http://schemas.microsoft.com/office/drawing/2014/main" id="{00000000-0008-0000-0300-00000BA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100" b="1" i="0" u="none" strike="noStrike" baseline="0">
                  <a:solidFill>
                    <a:srgbClr val="333399"/>
                  </a:solidFill>
                  <a:latin typeface="Segoe UI"/>
                  <a:cs typeface="Segoe UI"/>
                </a:rPr>
                <a:t>DATOS DE ENTRADA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1840159</xdr:colOff>
      <xdr:row>4</xdr:row>
      <xdr:rowOff>640772</xdr:rowOff>
    </xdr:to>
    <xdr:grpSp>
      <xdr:nvGrpSpPr>
        <xdr:cNvPr id="16" name="Grupo 15">
          <a:extLst>
            <a:ext uri="{FF2B5EF4-FFF2-40B4-BE49-F238E27FC236}">
              <a16:creationId xmlns:a16="http://schemas.microsoft.com/office/drawing/2014/main" id="{00000000-0008-0000-0400-000010000000}"/>
            </a:ext>
          </a:extLst>
        </xdr:cNvPr>
        <xdr:cNvGrpSpPr/>
      </xdr:nvGrpSpPr>
      <xdr:grpSpPr>
        <a:xfrm>
          <a:off x="0" y="0"/>
          <a:ext cx="6535984" cy="1650422"/>
          <a:chOff x="-2" y="0"/>
          <a:chExt cx="12192002" cy="4596116"/>
        </a:xfrm>
      </xdr:grpSpPr>
      <xdr:pic>
        <xdr:nvPicPr>
          <xdr:cNvPr id="17" name="Imagen 16" descr="Un puente sobre el pasto verde&#10;&#10;Descripción generada automáticamente con confianza media">
            <a:extLst>
              <a:ext uri="{FF2B5EF4-FFF2-40B4-BE49-F238E27FC236}">
                <a16:creationId xmlns:a16="http://schemas.microsoft.com/office/drawing/2014/main" id="{00000000-0008-0000-0400-000011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850"/>
          <a:stretch/>
        </xdr:blipFill>
        <xdr:spPr>
          <a:xfrm>
            <a:off x="0" y="0"/>
            <a:ext cx="12192000" cy="4025269"/>
          </a:xfrm>
          <a:prstGeom prst="rect">
            <a:avLst/>
          </a:prstGeom>
        </xdr:spPr>
      </xdr:pic>
      <xdr:sp macro="" textlink="">
        <xdr:nvSpPr>
          <xdr:cNvPr id="18" name="Rectángulo 17">
            <a:extLst>
              <a:ext uri="{FF2B5EF4-FFF2-40B4-BE49-F238E27FC236}">
                <a16:creationId xmlns:a16="http://schemas.microsoft.com/office/drawing/2014/main" id="{00000000-0008-0000-0400-000012000000}"/>
              </a:ext>
            </a:extLst>
          </xdr:cNvPr>
          <xdr:cNvSpPr/>
        </xdr:nvSpPr>
        <xdr:spPr>
          <a:xfrm>
            <a:off x="-2" y="3372729"/>
            <a:ext cx="12192002" cy="122338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CO"/>
          </a:p>
        </xdr:txBody>
      </xdr:sp>
      <xdr:pic>
        <xdr:nvPicPr>
          <xdr:cNvPr id="19" name="Imagen 18">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2952" y="3619019"/>
            <a:ext cx="5325548" cy="885372"/>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0" name="Picture 2" descr="Colombia, elegible para el Mecanismo Global de Financiamiento Concesional  por migración de ciudadanos venezolanos - Naciones Unidas Colombia | CINU">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20693" y="3619020"/>
            <a:ext cx="1464141" cy="88537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1" name="logo_color_img">
            <a:extLst>
              <a:ext uri="{FF2B5EF4-FFF2-40B4-BE49-F238E27FC236}">
                <a16:creationId xmlns:a16="http://schemas.microsoft.com/office/drawing/2014/main" id="{00000000-0008-0000-0400-000015000000}"/>
              </a:ext>
            </a:extLst>
          </xdr:cNvPr>
          <xdr:cNvPicPr/>
        </xdr:nvPicPr>
        <xdr:blipFill>
          <a:blip xmlns:r="http://schemas.openxmlformats.org/officeDocument/2006/relationships" r:embed="rId4"/>
          <a:stretch>
            <a:fillRect/>
          </a:stretch>
        </xdr:blipFill>
        <xdr:spPr>
          <a:xfrm>
            <a:off x="7677027" y="3619020"/>
            <a:ext cx="2200195" cy="885371"/>
          </a:xfrm>
          <a:prstGeom prst="rect">
            <a:avLst/>
          </a:prstGeom>
        </xdr:spPr>
      </xdr:pic>
      <xdr:pic>
        <xdr:nvPicPr>
          <xdr:cNvPr id="22" name="Afbeelding 6">
            <a:extLst>
              <a:ext uri="{FF2B5EF4-FFF2-40B4-BE49-F238E27FC236}">
                <a16:creationId xmlns:a16="http://schemas.microsoft.com/office/drawing/2014/main" id="{00000000-0008-0000-0400-000016000000}"/>
              </a:ext>
            </a:extLst>
          </xdr:cNvPr>
          <xdr:cNvPicPr/>
        </xdr:nvPicPr>
        <xdr:blipFill>
          <a:blip xmlns:r="http://schemas.openxmlformats.org/officeDocument/2006/relationships" r:embed="rId5"/>
          <a:stretch>
            <a:fillRect/>
          </a:stretch>
        </xdr:blipFill>
        <xdr:spPr>
          <a:xfrm>
            <a:off x="10269415" y="3619020"/>
            <a:ext cx="1819633" cy="885370"/>
          </a:xfrm>
          <a:prstGeom prst="rect">
            <a:avLst/>
          </a:prstGeom>
        </xdr:spPr>
      </xdr:pic>
      <xdr:sp macro="" textlink="">
        <xdr:nvSpPr>
          <xdr:cNvPr id="23" name="Rectángulo 22">
            <a:extLst>
              <a:ext uri="{FF2B5EF4-FFF2-40B4-BE49-F238E27FC236}">
                <a16:creationId xmlns:a16="http://schemas.microsoft.com/office/drawing/2014/main" id="{00000000-0008-0000-0400-000017000000}"/>
              </a:ext>
            </a:extLst>
          </xdr:cNvPr>
          <xdr:cNvSpPr/>
        </xdr:nvSpPr>
        <xdr:spPr>
          <a:xfrm>
            <a:off x="-2" y="0"/>
            <a:ext cx="10016199" cy="3372729"/>
          </a:xfrm>
          <a:prstGeom prst="rect">
            <a:avLst/>
          </a:prstGeom>
          <a:solidFill>
            <a:schemeClr val="accent1">
              <a:alpha val="7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CO"/>
          </a:p>
        </xdr:txBody>
      </xdr:sp>
      <xdr:sp macro="" textlink="">
        <xdr:nvSpPr>
          <xdr:cNvPr id="24" name="CuadroTexto 9">
            <a:extLst>
              <a:ext uri="{FF2B5EF4-FFF2-40B4-BE49-F238E27FC236}">
                <a16:creationId xmlns:a16="http://schemas.microsoft.com/office/drawing/2014/main" id="{00000000-0008-0000-0400-000018000000}"/>
              </a:ext>
            </a:extLst>
          </xdr:cNvPr>
          <xdr:cNvSpPr txBox="1"/>
        </xdr:nvSpPr>
        <xdr:spPr>
          <a:xfrm>
            <a:off x="127222" y="8630"/>
            <a:ext cx="9865157" cy="2407112"/>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CO" sz="1050" b="1">
                <a:solidFill>
                  <a:schemeClr val="bg1"/>
                </a:solidFill>
                <a:latin typeface="Segoe UI" panose="020B0502040204020203" pitchFamily="34" charset="0"/>
                <a:cs typeface="Segoe UI" panose="020B0502040204020203" pitchFamily="34" charset="0"/>
              </a:rPr>
              <a:t>MODELO PARA LA REDUCCIÓN DE RESIDUOS DESTINADOS A DISPOSICIÓN FINAL</a:t>
            </a:r>
          </a:p>
          <a:p>
            <a:endParaRPr lang="es-CO" sz="900" b="1">
              <a:solidFill>
                <a:schemeClr val="bg1"/>
              </a:solidFill>
              <a:latin typeface="Segoe UI" panose="020B0502040204020203" pitchFamily="34" charset="0"/>
              <a:cs typeface="Segoe UI" panose="020B0502040204020203" pitchFamily="34" charset="0"/>
            </a:endParaRPr>
          </a:p>
          <a:p>
            <a:r>
              <a:rPr lang="es-CO" sz="900" b="1">
                <a:solidFill>
                  <a:schemeClr val="bg1"/>
                </a:solidFill>
                <a:latin typeface="Segoe UI" panose="020B0502040204020203" pitchFamily="34" charset="0"/>
                <a:cs typeface="Segoe UI" panose="020B0502040204020203" pitchFamily="34" charset="0"/>
              </a:rPr>
              <a:t>Desarrollado por Witteveen+Bos y MAG Consultoría para el Banco Mundial y el Ministerio de Vivienda, Ciudad y Territorio. (Contrato #7199018)</a:t>
            </a:r>
          </a:p>
        </xdr:txBody>
      </xdr:sp>
    </xdr:grpSp>
    <xdr:clientData/>
  </xdr:twoCellAnchor>
  <mc:AlternateContent xmlns:mc="http://schemas.openxmlformats.org/markup-compatibility/2006">
    <mc:Choice xmlns:a14="http://schemas.microsoft.com/office/drawing/2010/main" Requires="a14">
      <xdr:twoCellAnchor>
        <xdr:from>
          <xdr:col>0</xdr:col>
          <xdr:colOff>0</xdr:colOff>
          <xdr:row>3</xdr:row>
          <xdr:rowOff>161925</xdr:rowOff>
        </xdr:from>
        <xdr:to>
          <xdr:col>0</xdr:col>
          <xdr:colOff>1352550</xdr:colOff>
          <xdr:row>4</xdr:row>
          <xdr:rowOff>190500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CO" sz="800" b="1" i="0" u="none" strike="noStrike" baseline="0">
                  <a:solidFill>
                    <a:srgbClr val="333399"/>
                  </a:solidFill>
                  <a:latin typeface="Segoe UI"/>
                  <a:cs typeface="Segoe UI"/>
                </a:rPr>
                <a:t>PORTADA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1609725</xdr:colOff>
          <xdr:row>3</xdr:row>
          <xdr:rowOff>152400</xdr:rowOff>
        </xdr:from>
        <xdr:to>
          <xdr:col>2</xdr:col>
          <xdr:colOff>238125</xdr:colOff>
          <xdr:row>4</xdr:row>
          <xdr:rowOff>209550</xdr:rowOff>
        </xdr:to>
        <xdr:sp macro="" textlink="">
          <xdr:nvSpPr>
            <xdr:cNvPr id="5125" name="Button 5"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CO" sz="800" b="1" i="0" u="none" strike="noStrike" baseline="0">
                  <a:solidFill>
                    <a:srgbClr val="333399"/>
                  </a:solidFill>
                  <a:latin typeface="Segoe UI"/>
                  <a:cs typeface="Segoe UI"/>
                </a:rPr>
                <a:t>INSTRUCCIONES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3</xdr:row>
          <xdr:rowOff>142875</xdr:rowOff>
        </xdr:from>
        <xdr:to>
          <xdr:col>1</xdr:col>
          <xdr:colOff>1362075</xdr:colOff>
          <xdr:row>4</xdr:row>
          <xdr:rowOff>200025</xdr:rowOff>
        </xdr:to>
        <xdr:sp macro="" textlink="">
          <xdr:nvSpPr>
            <xdr:cNvPr id="5126" name="Button 6"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CO" sz="800" b="1" i="0" u="none" strike="noStrike" baseline="0">
                  <a:solidFill>
                    <a:srgbClr val="333399"/>
                  </a:solidFill>
                  <a:latin typeface="Segoe UI"/>
                  <a:cs typeface="Segoe UI"/>
                </a:rPr>
                <a:t>DATOS DE ENTRADA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495300</xdr:colOff>
          <xdr:row>3</xdr:row>
          <xdr:rowOff>161925</xdr:rowOff>
        </xdr:from>
        <xdr:to>
          <xdr:col>2</xdr:col>
          <xdr:colOff>1847850</xdr:colOff>
          <xdr:row>4</xdr:row>
          <xdr:rowOff>190500</xdr:rowOff>
        </xdr:to>
        <xdr:sp macro="" textlink="">
          <xdr:nvSpPr>
            <xdr:cNvPr id="5128" name="Button 8"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s-CO" sz="800" b="1" i="0" u="none" strike="noStrike" baseline="0">
                  <a:solidFill>
                    <a:srgbClr val="333399"/>
                  </a:solidFill>
                  <a:latin typeface="Segoe UI"/>
                  <a:cs typeface="Segoe UI"/>
                </a:rPr>
                <a:t>EXPORTAR PDF</a:t>
              </a:r>
            </a:p>
            <a:p>
              <a:pPr algn="ctr" rtl="0">
                <a:defRPr sz="1000"/>
              </a:pPr>
              <a:endParaRPr lang="es-CO" sz="800" b="1" i="0" u="none" strike="noStrike" baseline="0">
                <a:solidFill>
                  <a:srgbClr val="333399"/>
                </a:solidFill>
                <a:latin typeface="Segoe UI"/>
                <a:cs typeface="Segoe U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95250</xdr:colOff>
          <xdr:row>393</xdr:row>
          <xdr:rowOff>95250</xdr:rowOff>
        </xdr:from>
        <xdr:to>
          <xdr:col>0</xdr:col>
          <xdr:colOff>1447800</xdr:colOff>
          <xdr:row>394</xdr:row>
          <xdr:rowOff>47625</xdr:rowOff>
        </xdr:to>
        <xdr:sp macro="" textlink="">
          <xdr:nvSpPr>
            <xdr:cNvPr id="5131" name="Button 11"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100" b="1" i="0" u="none" strike="noStrike" baseline="0">
                  <a:solidFill>
                    <a:srgbClr val="333399"/>
                  </a:solidFill>
                  <a:latin typeface="Segoe UI"/>
                  <a:cs typeface="Segoe UI"/>
                </a:rPr>
                <a:t>EXPORTAR PDF</a:t>
              </a:r>
            </a:p>
            <a:p>
              <a:pPr algn="ctr" rtl="0">
                <a:defRPr sz="1000"/>
              </a:pPr>
              <a:endParaRPr lang="es-CO" sz="1100" b="1" i="0" u="none" strike="noStrike" baseline="0">
                <a:solidFill>
                  <a:srgbClr val="333399"/>
                </a:solidFill>
                <a:latin typeface="Segoe UI"/>
                <a:cs typeface="Segoe UI"/>
              </a:endParaRP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219075</xdr:colOff>
          <xdr:row>0</xdr:row>
          <xdr:rowOff>85725</xdr:rowOff>
        </xdr:from>
        <xdr:to>
          <xdr:col>3</xdr:col>
          <xdr:colOff>638175</xdr:colOff>
          <xdr:row>1</xdr:row>
          <xdr:rowOff>123825</xdr:rowOff>
        </xdr:to>
        <xdr:sp macro="" textlink="">
          <xdr:nvSpPr>
            <xdr:cNvPr id="58369" name="Button 1" hidden="1">
              <a:extLst>
                <a:ext uri="{63B3BB69-23CF-44E3-9099-C40C66FF867C}">
                  <a14:compatExt spid="_x0000_s58369"/>
                </a:ext>
                <a:ext uri="{FF2B5EF4-FFF2-40B4-BE49-F238E27FC236}">
                  <a16:creationId xmlns:a16="http://schemas.microsoft.com/office/drawing/2014/main" id="{00000000-0008-0000-0500-000001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000" b="1" i="0" u="none" strike="noStrike" baseline="0">
                  <a:solidFill>
                    <a:srgbClr val="333399"/>
                  </a:solidFill>
                  <a:latin typeface="Segoe UI"/>
                  <a:cs typeface="Segoe UI"/>
                </a:rPr>
                <a:t>RESULTADOS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171450</xdr:colOff>
      <xdr:row>0</xdr:row>
      <xdr:rowOff>76200</xdr:rowOff>
    </xdr:from>
    <xdr:to>
      <xdr:col>1</xdr:col>
      <xdr:colOff>600075</xdr:colOff>
      <xdr:row>3</xdr:row>
      <xdr:rowOff>95250</xdr:rowOff>
    </xdr:to>
    <xdr:pic>
      <xdr:nvPicPr>
        <xdr:cNvPr id="2" name="Imagen 1">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76200"/>
          <a:ext cx="11906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228600</xdr:colOff>
      <xdr:row>0</xdr:row>
      <xdr:rowOff>47625</xdr:rowOff>
    </xdr:from>
    <xdr:to>
      <xdr:col>5</xdr:col>
      <xdr:colOff>180975</xdr:colOff>
      <xdr:row>3</xdr:row>
      <xdr:rowOff>47625</xdr:rowOff>
    </xdr:to>
    <xdr:pic>
      <xdr:nvPicPr>
        <xdr:cNvPr id="3" name="Imagen 4">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48050" y="47625"/>
          <a:ext cx="29813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xdr:colOff>
      <xdr:row>3</xdr:row>
      <xdr:rowOff>123825</xdr:rowOff>
    </xdr:from>
    <xdr:to>
      <xdr:col>5</xdr:col>
      <xdr:colOff>190501</xdr:colOff>
      <xdr:row>4</xdr:row>
      <xdr:rowOff>0</xdr:rowOff>
    </xdr:to>
    <xdr:pic>
      <xdr:nvPicPr>
        <xdr:cNvPr id="4" name="Imagen 2" descr="linea">
          <a:extLst>
            <a:ext uri="{FF2B5EF4-FFF2-40B4-BE49-F238E27FC236}">
              <a16:creationId xmlns:a16="http://schemas.microsoft.com/office/drawing/2014/main" id="{00000000-0008-0000-1200-000004000000}"/>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flipV="1">
          <a:off x="1" y="695325"/>
          <a:ext cx="64389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Kelvin Pulido" id="{8DE3FF28-0A47-43F9-9576-7F5EA56803B5}" userId="Kelvin Pulido" providerId="Non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C7886EC-DF7A-4125-BDEF-1401528F2BB9}" name="Tabla2" displayName="Tabla2" ref="A1:A6" totalsRowShown="0">
  <autoFilter ref="A1:A6" xr:uid="{8AEFD6E2-AE9C-4AF2-B489-FD5609A732CF}"/>
  <tableColumns count="1">
    <tableColumn id="1" xr3:uid="{C40D0950-4C43-4A18-9F39-10C974FA3802}" name="Medición Desempeño Municipal"/>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84551E6-E215-4BB4-9AAE-511B52AC81F2}" name="Tabla3" displayName="Tabla3" ref="C1:C8" totalsRowShown="0">
  <autoFilter ref="C1:C8" xr:uid="{5363A2C2-EA03-42BD-B789-EB3BED30B364}"/>
  <tableColumns count="1">
    <tableColumn id="1" xr3:uid="{67B5AD33-3950-4FB4-A75D-0EE98781B743}" name="Categoría Municipal (Ley 617 de 200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A3C75D6-0FB6-4869-B7F5-2805D070DD65}" name="Tabla4" displayName="Tabla4" ref="E1:E3" totalsRowShown="0">
  <autoFilter ref="E1:E3" xr:uid="{F99E7B0B-B212-48C2-961F-0EAD60B69F12}"/>
  <tableColumns count="1">
    <tableColumn id="1" xr3:uid="{2969B631-D45C-4546-8043-BF2F75B621C0}" name="Afirmación/Negació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A110321-BB43-4274-95AF-585ADBED7335}" name="Tabla5" displayName="Tabla5" ref="G1:G6" totalsRowShown="0">
  <autoFilter ref="G1:G6" xr:uid="{2B16D66D-5AD9-4B97-AD65-FF0146A687E2}"/>
  <tableColumns count="1">
    <tableColumn id="1" xr3:uid="{43123524-829F-4E1B-9A66-DB8074873B53}" name="Estado de las vías"/>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0C21E2A-3688-4683-8D8F-1AA88E45017C}" name="Tabla6" displayName="Tabla6" ref="A13:A18" totalsRowShown="0">
  <autoFilter ref="A13:A18" xr:uid="{4848A127-9F8A-4B9A-9FE2-22BB34D08909}"/>
  <tableColumns count="1">
    <tableColumn id="1" xr3:uid="{73FCFD21-8AFC-4524-8EE5-343B2FD74376}" name="Tipo de sitio de disposición final"/>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755229FE-E796-4648-AE3F-81F66FD13FCE}" name="Tabla7" displayName="Tabla7" ref="C13:C16" totalsRowShown="0">
  <autoFilter ref="C13:C16" xr:uid="{073BB40F-E5D0-4CD3-A629-6321868CE0FD}"/>
  <tableColumns count="1">
    <tableColumn id="1" xr3:uid="{706DF216-B225-4FBF-8F48-8BC45B0FD0C1}" name="Sistema de extracción y aprovechamiento de biogás"/>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4613572-8FBE-406E-BC22-CE6410BAF989}" name="Tabla9" displayName="Tabla9" ref="E13:E17" totalsRowShown="0" headerRowDxfId="1">
  <autoFilter ref="E13:E17" xr:uid="{964D836A-EFDE-4403-B402-9F0A8F4B85C9}"/>
  <tableColumns count="1">
    <tableColumn id="1" xr3:uid="{08AA651A-13AF-4EBB-944C-96DCFD5D9E4C}" name="Toneladas mensuales promedio de residuos sólidos provenientes de las actividades de corte de césped y poda de árboles"/>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998DF44-D369-4A78-A640-5C40BA78CFFC}" name="Tabla10" displayName="Tabla10" ref="G13:G17" totalsRowShown="0">
  <autoFilter ref="G13:G17" xr:uid="{28E5A831-C5F8-44F5-A2B4-EB5DEF97A31D}"/>
  <tableColumns count="1">
    <tableColumn id="1" xr3:uid="{744ED122-EE09-47CF-9CCE-81AA5F6A9E41}" name="Cobertura en la recolección y transporte de residuos"/>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F6894AF7-CF8A-480E-B461-15944A888ABA}" name="Tabla11" displayName="Tabla11" ref="A22:A27" totalsRowShown="0">
  <autoFilter ref="A22:A27" xr:uid="{875D46E1-070D-4B68-9687-3E942B3633EF}"/>
  <tableColumns count="1">
    <tableColumn id="1" xr3:uid="{B69CC41D-EBA1-4535-95ED-17DD4D5C4B30}" name="Distancia a sitio de disposición final"/>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CD48BA9-E3E8-407F-9439-BF763AFBAE89}" name="Tabla12" displayName="Tabla12" ref="C22:C27" totalsRowShown="0" headerRowDxfId="0">
  <autoFilter ref="C22:C27" xr:uid="{B10E1B5B-90DB-4955-956B-C5D77675DE3C}"/>
  <tableColumns count="1">
    <tableColumn id="1" xr3:uid="{1289EBBB-F4FC-4A50-AFB8-6126E0F72B62}" name="Años de operación y vida útil del sitio de disposición final"/>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D08E058-7D86-41FA-96E1-113B1B10C381}" name="Tabla13" displayName="Tabla13" ref="E22:E27" totalsRowShown="0">
  <autoFilter ref="E22:E27" xr:uid="{006BA4A5-F0D7-440C-95C4-9FAA78922F53}"/>
  <tableColumns count="1">
    <tableColumn id="1" xr3:uid="{57113244-BC19-430F-9D05-FF37F4490756}" name="Índice de Pobreza Multidimensional"/>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8D4B8820-B3DA-4728-9E0B-456BE0C7B3F1}" name="Tabla14" displayName="Tabla14" ref="G22:G25" totalsRowShown="0">
  <autoFilter ref="G22:G25" xr:uid="{A51318CE-AA1B-4EE0-8172-61DA2787D54B}"/>
  <tableColumns count="1">
    <tableColumn id="1" xr3:uid="{2D301B3C-DA30-45D6-A69D-CD4D99932E55}" name="Tipo de actor"/>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S6" dT="2021-08-29T14:49:34.93" personId="{8DE3FF28-0A47-43F9-9576-7F5EA56803B5}" id="{D16795C3-1F4C-4AA2-B636-C0CA4E210238}">
    <text>Ingreso - rechazo</text>
  </threadedComment>
  <threadedComment ref="S7" dT="2021-08-29T14:49:47.99" personId="{8DE3FF28-0A47-43F9-9576-7F5EA56803B5}" id="{FC66AB1F-6ED0-410E-9F5C-3DDA07E75BB6}">
    <text>% organicos</text>
  </threadedComment>
  <threadedComment ref="S8" dT="2021-08-29T14:50:15.60" personId="{8DE3FF28-0A47-43F9-9576-7F5EA56803B5}" id="{03A23E64-80A7-4D74-879F-BC96A9ADAEB7}">
    <text>Material para aprovechamiento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3.vml"/><Relationship Id="rId7" Type="http://schemas.openxmlformats.org/officeDocument/2006/relationships/ctrlProp" Target="../ctrlProps/ctrlProp8.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 Id="rId9"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5.vml"/><Relationship Id="rId7" Type="http://schemas.openxmlformats.org/officeDocument/2006/relationships/ctrlProp" Target="../ctrlProps/ctrlProp14.xml"/><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8.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10.vml"/></Relationships>
</file>

<file path=xl/worksheets/_rels/sheet16.xml.rels><?xml version="1.0" encoding="UTF-8" standalone="yes"?>
<Relationships xmlns="http://schemas.openxmlformats.org/package/2006/relationships"><Relationship Id="rId1" Type="http://schemas.openxmlformats.org/officeDocument/2006/relationships/hyperlink" Target="https://www.ambientum.com/enciclopedia_medioambiental/suelos/caracteristicas_fisicas.asp" TargetMode="External"/></Relationships>
</file>

<file path=xl/worksheets/_rels/sheet18.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BB2FD-A5CB-4CAD-B639-C7EDAA62B6A3}">
  <sheetPr codeName="Hoja1">
    <tabColor theme="3"/>
  </sheetPr>
  <dimension ref="A1:O27"/>
  <sheetViews>
    <sheetView zoomScaleNormal="100" workbookViewId="0">
      <pane xSplit="15" ySplit="18" topLeftCell="P19" activePane="bottomRight" state="frozen"/>
      <selection pane="topRight" activeCell="P1" sqref="P1"/>
      <selection pane="bottomLeft" activeCell="A19" sqref="A19"/>
      <selection pane="bottomRight" activeCell="N17" sqref="N17"/>
    </sheetView>
  </sheetViews>
  <sheetFormatPr baseColWidth="10" defaultColWidth="0" defaultRowHeight="16.5" zeroHeight="1" x14ac:dyDescent="0.3"/>
  <cols>
    <col min="1" max="15" width="11.42578125" style="91" customWidth="1"/>
    <col min="16" max="16384" width="11.42578125" style="91" hidden="1"/>
  </cols>
  <sheetData>
    <row r="1" x14ac:dyDescent="0.3"/>
    <row r="2" x14ac:dyDescent="0.3"/>
    <row r="3" x14ac:dyDescent="0.3"/>
    <row r="4" x14ac:dyDescent="0.3"/>
    <row r="5" x14ac:dyDescent="0.3"/>
    <row r="6" x14ac:dyDescent="0.3"/>
    <row r="7" x14ac:dyDescent="0.3"/>
    <row r="8" x14ac:dyDescent="0.3"/>
    <row r="9" x14ac:dyDescent="0.3"/>
    <row r="10" x14ac:dyDescent="0.3"/>
    <row r="11" x14ac:dyDescent="0.3"/>
    <row r="12" x14ac:dyDescent="0.3"/>
    <row r="13" x14ac:dyDescent="0.3"/>
    <row r="14" x14ac:dyDescent="0.3"/>
    <row r="15" x14ac:dyDescent="0.3"/>
    <row r="16" x14ac:dyDescent="0.3"/>
    <row r="17" spans="5:14" x14ac:dyDescent="0.3">
      <c r="N17"/>
    </row>
    <row r="18" spans="5:14" x14ac:dyDescent="0.3"/>
    <row r="27" spans="5:14" hidden="1" x14ac:dyDescent="0.3">
      <c r="E27" s="92"/>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Instrucciones">
                <anchor moveWithCells="1" sizeWithCells="1">
                  <from>
                    <xdr:col>12</xdr:col>
                    <xdr:colOff>561975</xdr:colOff>
                    <xdr:row>1</xdr:row>
                    <xdr:rowOff>57150</xdr:rowOff>
                  </from>
                  <to>
                    <xdr:col>14</xdr:col>
                    <xdr:colOff>542925</xdr:colOff>
                    <xdr:row>3</xdr:row>
                    <xdr:rowOff>123825</xdr:rowOff>
                  </to>
                </anchor>
              </controlPr>
            </control>
          </mc:Choice>
        </mc:AlternateContent>
        <mc:AlternateContent xmlns:mc="http://schemas.openxmlformats.org/markup-compatibility/2006">
          <mc:Choice Requires="x14">
            <control shapeId="3074" r:id="rId5" name="Button 2">
              <controlPr defaultSize="0" print="0" autoFill="0" autoPict="0" macro="[0]!Entrada">
                <anchor moveWithCells="1" sizeWithCells="1">
                  <from>
                    <xdr:col>12</xdr:col>
                    <xdr:colOff>533400</xdr:colOff>
                    <xdr:row>4</xdr:row>
                    <xdr:rowOff>9525</xdr:rowOff>
                  </from>
                  <to>
                    <xdr:col>14</xdr:col>
                    <xdr:colOff>542925</xdr:colOff>
                    <xdr:row>6</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0B8B2-100C-47AA-9E05-504459A6F61B}">
  <sheetPr codeName="Hoja2">
    <tabColor theme="3"/>
  </sheetPr>
  <dimension ref="A1:AP15"/>
  <sheetViews>
    <sheetView zoomScale="110" zoomScaleNormal="110" workbookViewId="0">
      <selection sqref="A1:K1"/>
    </sheetView>
  </sheetViews>
  <sheetFormatPr baseColWidth="10" defaultColWidth="0" defaultRowHeight="16.5" x14ac:dyDescent="0.3"/>
  <cols>
    <col min="1" max="12" width="11.42578125" style="93" customWidth="1"/>
    <col min="13" max="14" width="11.42578125" style="91" customWidth="1"/>
    <col min="15" max="16384" width="11.42578125" style="91" hidden="1"/>
  </cols>
  <sheetData>
    <row r="1" spans="1:42" x14ac:dyDescent="0.3">
      <c r="A1" s="196" t="s">
        <v>0</v>
      </c>
      <c r="B1" s="196"/>
      <c r="C1" s="196"/>
      <c r="D1" s="196"/>
      <c r="E1" s="196"/>
      <c r="F1" s="196"/>
      <c r="G1" s="196"/>
      <c r="H1" s="196"/>
      <c r="I1" s="196"/>
      <c r="J1" s="196"/>
      <c r="K1" s="196"/>
    </row>
    <row r="3" spans="1:42" ht="46.5" customHeight="1" x14ac:dyDescent="0.3">
      <c r="A3" s="197" t="s">
        <v>1</v>
      </c>
      <c r="B3" s="197"/>
      <c r="C3" s="197"/>
      <c r="D3" s="197"/>
      <c r="E3" s="197"/>
      <c r="F3" s="197"/>
      <c r="G3" s="197"/>
      <c r="H3" s="197"/>
      <c r="I3" s="197"/>
      <c r="J3" s="197"/>
      <c r="K3" s="197"/>
    </row>
    <row r="5" spans="1:42" x14ac:dyDescent="0.3">
      <c r="A5" s="196" t="s">
        <v>2</v>
      </c>
      <c r="B5" s="196"/>
      <c r="C5" s="196"/>
      <c r="D5" s="196"/>
      <c r="E5" s="196"/>
      <c r="F5" s="196"/>
      <c r="G5" s="196"/>
      <c r="H5" s="196"/>
      <c r="I5" s="196"/>
      <c r="J5" s="196"/>
      <c r="K5" s="196"/>
    </row>
    <row r="7" spans="1:42" ht="81" customHeight="1" x14ac:dyDescent="0.3">
      <c r="A7" s="197" t="s">
        <v>3</v>
      </c>
      <c r="B7" s="197"/>
      <c r="C7" s="197"/>
      <c r="D7" s="197"/>
      <c r="E7" s="197"/>
      <c r="F7" s="197"/>
      <c r="G7" s="197"/>
      <c r="H7" s="197"/>
      <c r="I7" s="197"/>
      <c r="J7" s="197"/>
      <c r="K7" s="197"/>
    </row>
    <row r="9" spans="1:42" x14ac:dyDescent="0.3">
      <c r="A9" s="196" t="s">
        <v>4</v>
      </c>
      <c r="B9" s="196"/>
      <c r="C9" s="196"/>
      <c r="D9" s="196"/>
      <c r="E9" s="196"/>
      <c r="F9" s="196"/>
      <c r="G9" s="196"/>
      <c r="H9" s="196"/>
      <c r="I9" s="196"/>
      <c r="J9" s="196"/>
      <c r="K9" s="196"/>
    </row>
    <row r="11" spans="1:42" ht="96" customHeight="1" x14ac:dyDescent="0.3">
      <c r="A11" s="197" t="s">
        <v>5</v>
      </c>
      <c r="B11" s="197"/>
      <c r="C11" s="197"/>
      <c r="D11" s="197"/>
      <c r="E11" s="197"/>
      <c r="F11" s="197"/>
      <c r="G11" s="197"/>
      <c r="H11" s="197"/>
      <c r="I11" s="197"/>
      <c r="J11" s="197"/>
      <c r="K11" s="197"/>
    </row>
    <row r="13" spans="1:42" s="84" customFormat="1" ht="16.5" customHeight="1" x14ac:dyDescent="0.25">
      <c r="A13" s="196" t="s">
        <v>6</v>
      </c>
      <c r="B13" s="196"/>
      <c r="C13" s="196"/>
      <c r="D13" s="196"/>
      <c r="E13" s="196"/>
      <c r="F13" s="196"/>
      <c r="G13" s="196"/>
      <c r="H13" s="196"/>
      <c r="I13" s="196"/>
      <c r="J13" s="196"/>
      <c r="K13" s="196"/>
    </row>
    <row r="14" spans="1:42" s="85" customFormat="1" ht="182.25" customHeight="1" x14ac:dyDescent="0.25">
      <c r="A14" s="197" t="s">
        <v>7</v>
      </c>
      <c r="B14" s="197"/>
      <c r="C14" s="197"/>
      <c r="D14" s="197"/>
      <c r="E14" s="197"/>
      <c r="F14" s="197"/>
      <c r="G14" s="197"/>
      <c r="H14" s="197"/>
      <c r="I14" s="197"/>
      <c r="J14" s="197"/>
      <c r="K14" s="197"/>
      <c r="L14" s="84"/>
      <c r="M14" s="84"/>
      <c r="N14" s="84"/>
      <c r="O14" s="84"/>
      <c r="P14" s="84"/>
      <c r="Q14" s="84"/>
      <c r="R14" s="84"/>
      <c r="S14" s="84"/>
      <c r="T14" s="84"/>
      <c r="U14" s="84"/>
      <c r="V14" s="84"/>
      <c r="W14" s="84"/>
      <c r="X14" s="84"/>
      <c r="Y14" s="84"/>
      <c r="Z14" s="84"/>
      <c r="AA14" s="84"/>
      <c r="AB14" s="84"/>
      <c r="AC14" s="84"/>
      <c r="AD14" s="84"/>
      <c r="AE14" s="84"/>
      <c r="AF14" s="84"/>
      <c r="AG14" s="84"/>
      <c r="AH14" s="84"/>
      <c r="AI14" s="84"/>
      <c r="AJ14" s="84"/>
      <c r="AK14" s="84"/>
      <c r="AL14" s="84"/>
      <c r="AM14" s="84"/>
      <c r="AN14" s="84"/>
      <c r="AO14" s="84"/>
      <c r="AP14" s="84"/>
    </row>
    <row r="15" spans="1:42" s="84" customFormat="1" x14ac:dyDescent="0.25">
      <c r="A15" s="98"/>
      <c r="C15" s="99"/>
    </row>
  </sheetData>
  <mergeCells count="8">
    <mergeCell ref="A5:K5"/>
    <mergeCell ref="A1:K1"/>
    <mergeCell ref="A3:K3"/>
    <mergeCell ref="A14:K14"/>
    <mergeCell ref="A13:K13"/>
    <mergeCell ref="A7:K7"/>
    <mergeCell ref="A9:K9"/>
    <mergeCell ref="A11:K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Entrada">
                <anchor moveWithCells="1" sizeWithCells="1">
                  <from>
                    <xdr:col>11</xdr:col>
                    <xdr:colOff>666750</xdr:colOff>
                    <xdr:row>2</xdr:row>
                    <xdr:rowOff>266700</xdr:rowOff>
                  </from>
                  <to>
                    <xdr:col>13</xdr:col>
                    <xdr:colOff>676275</xdr:colOff>
                    <xdr:row>3</xdr:row>
                    <xdr:rowOff>123825</xdr:rowOff>
                  </to>
                </anchor>
              </controlPr>
            </control>
          </mc:Choice>
        </mc:AlternateContent>
        <mc:AlternateContent xmlns:mc="http://schemas.openxmlformats.org/markup-compatibility/2006">
          <mc:Choice Requires="x14">
            <control shapeId="6146" r:id="rId4" name="Button 2">
              <controlPr defaultSize="0" print="0" autoFill="0" autoPict="0" macro="[0]!Portada">
                <anchor moveWithCells="1" sizeWithCells="1">
                  <from>
                    <xdr:col>11</xdr:col>
                    <xdr:colOff>685800</xdr:colOff>
                    <xdr:row>0</xdr:row>
                    <xdr:rowOff>142875</xdr:rowOff>
                  </from>
                  <to>
                    <xdr:col>13</xdr:col>
                    <xdr:colOff>676275</xdr:colOff>
                    <xdr:row>2</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4F29F-1DB3-40BC-B7EE-229D5B10CBD1}">
  <sheetPr codeName="Hoja3">
    <tabColor theme="3"/>
  </sheetPr>
  <dimension ref="A1:Q117"/>
  <sheetViews>
    <sheetView tabSelected="1" view="pageBreakPreview" topLeftCell="A11" zoomScaleNormal="110" zoomScaleSheetLayoutView="100" workbookViewId="0">
      <selection activeCell="C23" sqref="C23"/>
    </sheetView>
  </sheetViews>
  <sheetFormatPr baseColWidth="10" defaultColWidth="11.42578125" defaultRowHeight="16.5" zeroHeight="1" x14ac:dyDescent="0.3"/>
  <cols>
    <col min="1" max="1" width="76.7109375" style="91" bestFit="1" customWidth="1"/>
    <col min="2" max="2" width="61.42578125" style="91" bestFit="1" customWidth="1"/>
    <col min="3" max="3" width="11.7109375" style="91" customWidth="1"/>
    <col min="4" max="4" width="13" style="91" customWidth="1"/>
    <col min="5" max="5" width="11.42578125" style="91" hidden="1" customWidth="1"/>
    <col min="6" max="15" width="0" style="91" hidden="1" customWidth="1"/>
    <col min="16" max="17" width="11.42578125" style="91" hidden="1" customWidth="1"/>
    <col min="18" max="29" width="0" style="91" hidden="1" customWidth="1"/>
    <col min="30" max="16384" width="11.42578125" style="91"/>
  </cols>
  <sheetData>
    <row r="1" spans="1:11" s="111" customFormat="1" ht="20.25" x14ac:dyDescent="0.35">
      <c r="A1" s="198" t="s">
        <v>8</v>
      </c>
      <c r="B1" s="198"/>
      <c r="F1" s="112" t="s">
        <v>9</v>
      </c>
    </row>
    <row r="2" spans="1:11" s="111" customFormat="1" ht="234.75" customHeight="1" x14ac:dyDescent="0.3">
      <c r="A2" s="199" t="s">
        <v>10</v>
      </c>
      <c r="B2" s="199"/>
      <c r="E2" s="115"/>
      <c r="F2" s="115"/>
      <c r="G2" s="115"/>
      <c r="H2" s="115"/>
      <c r="I2" s="115"/>
      <c r="J2" s="115"/>
      <c r="K2" s="115"/>
    </row>
    <row r="3" spans="1:11" s="111" customFormat="1" ht="20.25" x14ac:dyDescent="0.35">
      <c r="A3" s="198" t="s">
        <v>11</v>
      </c>
      <c r="B3" s="198"/>
      <c r="F3" s="112" t="s">
        <v>9</v>
      </c>
    </row>
    <row r="4" spans="1:11" s="111" customFormat="1" x14ac:dyDescent="0.3">
      <c r="A4" s="113" t="s">
        <v>12</v>
      </c>
      <c r="B4" s="113" t="s">
        <v>13</v>
      </c>
      <c r="F4" s="112"/>
    </row>
    <row r="5" spans="1:11" x14ac:dyDescent="0.3">
      <c r="A5" s="95" t="s">
        <v>14</v>
      </c>
      <c r="B5" s="137"/>
      <c r="F5" s="110"/>
    </row>
    <row r="6" spans="1:11" x14ac:dyDescent="0.3">
      <c r="A6" s="95" t="s">
        <v>15</v>
      </c>
      <c r="B6" s="138"/>
      <c r="E6" s="91" t="str">
        <f>+IF(B6="","No",1)</f>
        <v>No</v>
      </c>
      <c r="F6" s="110" t="s">
        <v>16</v>
      </c>
    </row>
    <row r="7" spans="1:11" hidden="1" x14ac:dyDescent="0.3">
      <c r="A7" s="95" t="s">
        <v>17</v>
      </c>
      <c r="B7" s="138"/>
      <c r="C7" s="91" t="s">
        <v>18</v>
      </c>
      <c r="E7" s="91">
        <f>+IF(B7&gt;0,1,2)</f>
        <v>2</v>
      </c>
      <c r="F7" s="110" t="s">
        <v>19</v>
      </c>
    </row>
    <row r="8" spans="1:11" x14ac:dyDescent="0.3">
      <c r="A8" s="95" t="s">
        <v>20</v>
      </c>
      <c r="B8" s="138"/>
      <c r="F8" s="110"/>
    </row>
    <row r="9" spans="1:11" x14ac:dyDescent="0.3">
      <c r="A9" s="95" t="s">
        <v>21</v>
      </c>
      <c r="B9" s="138"/>
      <c r="E9" s="91">
        <f>+IF(B9&gt;0,1,2)</f>
        <v>2</v>
      </c>
      <c r="F9" s="110" t="s">
        <v>22</v>
      </c>
    </row>
    <row r="10" spans="1:11" x14ac:dyDescent="0.3">
      <c r="A10" s="95" t="s">
        <v>23</v>
      </c>
      <c r="B10" s="139"/>
      <c r="E10" s="91">
        <f>+IF(B10&gt;0,1,2)</f>
        <v>2</v>
      </c>
      <c r="F10" s="110" t="s">
        <v>19</v>
      </c>
    </row>
    <row r="11" spans="1:11" ht="33" x14ac:dyDescent="0.3">
      <c r="A11" s="96" t="s">
        <v>24</v>
      </c>
      <c r="B11" s="138"/>
      <c r="E11" s="91" t="str">
        <f>+IF(B11="","No",1)</f>
        <v>No</v>
      </c>
      <c r="F11" s="110" t="s">
        <v>16</v>
      </c>
    </row>
    <row r="12" spans="1:11" hidden="1" x14ac:dyDescent="0.3">
      <c r="A12" s="96" t="s">
        <v>26</v>
      </c>
      <c r="B12" s="138"/>
      <c r="F12" s="110"/>
    </row>
    <row r="13" spans="1:11" ht="33" x14ac:dyDescent="0.3">
      <c r="A13" s="96" t="s">
        <v>27</v>
      </c>
      <c r="B13" s="138"/>
      <c r="E13" s="171" t="str">
        <f>+IF(OR(B11="Si",B13="Si"),"1","0")</f>
        <v>0</v>
      </c>
      <c r="F13" s="110" t="s">
        <v>28</v>
      </c>
    </row>
    <row r="14" spans="1:11" hidden="1" x14ac:dyDescent="0.3">
      <c r="A14" s="96" t="s">
        <v>26</v>
      </c>
      <c r="B14" s="138"/>
      <c r="F14" s="110"/>
    </row>
    <row r="15" spans="1:11" x14ac:dyDescent="0.3">
      <c r="A15" s="95" t="s">
        <v>29</v>
      </c>
      <c r="B15" s="140"/>
      <c r="F15" s="110"/>
    </row>
    <row r="16" spans="1:11" ht="33" x14ac:dyDescent="0.3">
      <c r="A16" s="117" t="s">
        <v>30</v>
      </c>
      <c r="B16" s="85"/>
      <c r="F16" s="110"/>
    </row>
    <row r="17" spans="1:6" ht="20.25" x14ac:dyDescent="0.35">
      <c r="A17" s="201" t="s">
        <v>31</v>
      </c>
      <c r="B17" s="201"/>
      <c r="F17" s="110"/>
    </row>
    <row r="18" spans="1:6" x14ac:dyDescent="0.3">
      <c r="A18" s="94" t="s">
        <v>32</v>
      </c>
      <c r="B18" s="94" t="s">
        <v>13</v>
      </c>
      <c r="F18" s="110"/>
    </row>
    <row r="19" spans="1:6" x14ac:dyDescent="0.3">
      <c r="A19" s="95" t="s">
        <v>33</v>
      </c>
      <c r="B19" s="140"/>
      <c r="E19" s="91" t="str">
        <f>+IF(B19&gt;0,1,"No")</f>
        <v>No</v>
      </c>
      <c r="F19" s="110" t="s">
        <v>16</v>
      </c>
    </row>
    <row r="20" spans="1:6" x14ac:dyDescent="0.3">
      <c r="A20" s="95" t="s">
        <v>35</v>
      </c>
      <c r="B20" s="138"/>
      <c r="F20" s="110"/>
    </row>
    <row r="21" spans="1:6" x14ac:dyDescent="0.3">
      <c r="A21" s="95" t="s">
        <v>36</v>
      </c>
      <c r="B21" s="138"/>
      <c r="E21" s="91" t="str">
        <f>+IF(B21&gt;0,1,"No")</f>
        <v>No</v>
      </c>
      <c r="F21" s="110" t="s">
        <v>16</v>
      </c>
    </row>
    <row r="22" spans="1:6" x14ac:dyDescent="0.3">
      <c r="A22" s="96" t="s">
        <v>38</v>
      </c>
      <c r="B22" s="138"/>
      <c r="E22" s="91" t="str">
        <f>+IF(B22&gt;0,1,"No")</f>
        <v>No</v>
      </c>
      <c r="F22" s="110" t="s">
        <v>16</v>
      </c>
    </row>
    <row r="23" spans="1:6" ht="20.25" x14ac:dyDescent="0.35">
      <c r="A23" s="201" t="s">
        <v>39</v>
      </c>
      <c r="B23" s="201"/>
      <c r="F23" s="110"/>
    </row>
    <row r="24" spans="1:6" ht="17.25" x14ac:dyDescent="0.3">
      <c r="A24" s="200" t="s">
        <v>40</v>
      </c>
      <c r="B24" s="200"/>
      <c r="F24" s="110"/>
    </row>
    <row r="25" spans="1:6" x14ac:dyDescent="0.3">
      <c r="A25" s="94" t="s">
        <v>32</v>
      </c>
      <c r="B25" s="94" t="s">
        <v>13</v>
      </c>
      <c r="F25" s="110"/>
    </row>
    <row r="26" spans="1:6" x14ac:dyDescent="0.3">
      <c r="A26" s="95" t="s">
        <v>41</v>
      </c>
      <c r="B26" s="138"/>
      <c r="E26" s="91" t="str">
        <f>+IF(B26&gt;0,1,"No")</f>
        <v>No</v>
      </c>
      <c r="F26" s="110" t="s">
        <v>16</v>
      </c>
    </row>
    <row r="27" spans="1:6" x14ac:dyDescent="0.3">
      <c r="A27" s="95" t="s">
        <v>42</v>
      </c>
      <c r="B27" s="138"/>
      <c r="E27" s="91" t="str">
        <f>+IF(B27&gt;0,1,"No")</f>
        <v>No</v>
      </c>
      <c r="F27" s="110" t="s">
        <v>16</v>
      </c>
    </row>
    <row r="28" spans="1:6" x14ac:dyDescent="0.3">
      <c r="A28" s="95" t="s">
        <v>43</v>
      </c>
      <c r="B28" s="138"/>
      <c r="E28" s="91">
        <f>+IF(B28&gt;0,1,2)</f>
        <v>2</v>
      </c>
      <c r="F28" s="110" t="s">
        <v>25</v>
      </c>
    </row>
    <row r="29" spans="1:6" ht="33" x14ac:dyDescent="0.3">
      <c r="A29" s="96" t="s">
        <v>44</v>
      </c>
      <c r="B29" s="138"/>
      <c r="E29" s="91" t="str">
        <f>+IF(B29&gt;0,1,"No")</f>
        <v>No</v>
      </c>
      <c r="F29" s="110" t="s">
        <v>16</v>
      </c>
    </row>
    <row r="30" spans="1:6" ht="17.25" x14ac:dyDescent="0.3">
      <c r="A30" s="200" t="s">
        <v>45</v>
      </c>
      <c r="B30" s="200"/>
      <c r="F30" s="110"/>
    </row>
    <row r="31" spans="1:6" x14ac:dyDescent="0.3">
      <c r="A31" s="94" t="s">
        <v>32</v>
      </c>
      <c r="B31" s="94" t="s">
        <v>13</v>
      </c>
      <c r="F31" s="110"/>
    </row>
    <row r="32" spans="1:6" x14ac:dyDescent="0.3">
      <c r="A32" s="95" t="s">
        <v>46</v>
      </c>
      <c r="B32" s="138"/>
      <c r="E32" s="91" t="str">
        <f>+IF(B32&gt;0,1,"No")</f>
        <v>No</v>
      </c>
      <c r="F32" s="110" t="s">
        <v>16</v>
      </c>
    </row>
    <row r="33" spans="1:6" x14ac:dyDescent="0.3">
      <c r="A33" s="95" t="s">
        <v>48</v>
      </c>
      <c r="B33" s="138"/>
      <c r="E33" s="91" t="str">
        <f>+IF(B33&gt;0,1,"No")</f>
        <v>No</v>
      </c>
      <c r="F33" s="110" t="s">
        <v>16</v>
      </c>
    </row>
    <row r="34" spans="1:6" ht="33" x14ac:dyDescent="0.3">
      <c r="A34" s="96" t="s">
        <v>50</v>
      </c>
      <c r="B34" s="138"/>
      <c r="F34" s="110"/>
    </row>
    <row r="35" spans="1:6" ht="33" hidden="1" x14ac:dyDescent="0.3">
      <c r="A35" s="96" t="s">
        <v>51</v>
      </c>
      <c r="B35" s="138"/>
      <c r="E35" s="91" t="str">
        <f>+IF(B35&gt;0,1,"No")</f>
        <v>No</v>
      </c>
      <c r="F35" s="110" t="s">
        <v>16</v>
      </c>
    </row>
    <row r="36" spans="1:6" x14ac:dyDescent="0.3">
      <c r="A36" s="96" t="s">
        <v>52</v>
      </c>
      <c r="B36" s="138"/>
      <c r="E36" s="91" t="str">
        <f>+IF(B36&gt;0,1,"No")</f>
        <v>No</v>
      </c>
      <c r="F36" s="110" t="s">
        <v>16</v>
      </c>
    </row>
    <row r="37" spans="1:6" ht="17.25" x14ac:dyDescent="0.3">
      <c r="A37" s="200" t="s">
        <v>54</v>
      </c>
      <c r="B37" s="200"/>
      <c r="F37" s="110"/>
    </row>
    <row r="38" spans="1:6" x14ac:dyDescent="0.3">
      <c r="A38" s="94" t="s">
        <v>32</v>
      </c>
      <c r="B38" s="94" t="s">
        <v>13</v>
      </c>
      <c r="F38" s="110"/>
    </row>
    <row r="39" spans="1:6" x14ac:dyDescent="0.3">
      <c r="A39" s="96" t="s">
        <v>55</v>
      </c>
      <c r="B39" s="138"/>
      <c r="E39" s="91" t="str">
        <f>+IF(B39&gt;0,1,"No")</f>
        <v>No</v>
      </c>
      <c r="F39" s="110" t="s">
        <v>16</v>
      </c>
    </row>
    <row r="40" spans="1:6" x14ac:dyDescent="0.3">
      <c r="A40" s="96" t="s">
        <v>57</v>
      </c>
      <c r="B40" s="138"/>
      <c r="E40" s="91" t="str">
        <f>+IF(B40&gt;0,1,"No")</f>
        <v>No</v>
      </c>
      <c r="F40" s="110" t="s">
        <v>16</v>
      </c>
    </row>
    <row r="41" spans="1:6" x14ac:dyDescent="0.3">
      <c r="A41" s="96" t="s">
        <v>58</v>
      </c>
      <c r="B41" s="138"/>
      <c r="E41" s="91" t="str">
        <f>+IF(B41&gt;0,1,"No")</f>
        <v>No</v>
      </c>
      <c r="F41" s="110" t="s">
        <v>16</v>
      </c>
    </row>
    <row r="42" spans="1:6" x14ac:dyDescent="0.3">
      <c r="A42" s="96" t="s">
        <v>60</v>
      </c>
      <c r="B42" s="138"/>
      <c r="E42" s="91" t="str">
        <f>+IF(B42&gt;0,1,"No")</f>
        <v>No</v>
      </c>
      <c r="F42" s="110" t="s">
        <v>16</v>
      </c>
    </row>
    <row r="43" spans="1:6" ht="33" x14ac:dyDescent="0.3">
      <c r="A43" s="96" t="s">
        <v>62</v>
      </c>
      <c r="B43" s="138"/>
      <c r="E43" s="91" t="str">
        <f>+IF(B43&gt;0,1,"No")</f>
        <v>No</v>
      </c>
      <c r="F43" s="110" t="s">
        <v>16</v>
      </c>
    </row>
    <row r="44" spans="1:6" ht="17.25" x14ac:dyDescent="0.3">
      <c r="A44" s="200" t="s">
        <v>64</v>
      </c>
      <c r="B44" s="200"/>
      <c r="F44" s="110"/>
    </row>
    <row r="45" spans="1:6" x14ac:dyDescent="0.3">
      <c r="A45" s="94" t="s">
        <v>32</v>
      </c>
      <c r="B45" s="94" t="s">
        <v>13</v>
      </c>
      <c r="F45" s="110"/>
    </row>
    <row r="46" spans="1:6" ht="49.5" x14ac:dyDescent="0.3">
      <c r="A46" s="123" t="s">
        <v>65</v>
      </c>
      <c r="B46" s="138"/>
      <c r="E46" s="91" t="str">
        <f>+IF(B46&gt;0,1,"No")</f>
        <v>No</v>
      </c>
      <c r="F46" s="110" t="s">
        <v>16</v>
      </c>
    </row>
    <row r="47" spans="1:6" ht="33" x14ac:dyDescent="0.3">
      <c r="A47" s="96" t="s">
        <v>66</v>
      </c>
      <c r="B47" s="138"/>
      <c r="E47" s="91" t="str">
        <f>+IF(B47&gt;0,1,"No")</f>
        <v>No</v>
      </c>
      <c r="F47" s="110" t="s">
        <v>16</v>
      </c>
    </row>
    <row r="48" spans="1:6" ht="33" x14ac:dyDescent="0.3">
      <c r="A48" s="96" t="s">
        <v>67</v>
      </c>
      <c r="B48" s="138"/>
      <c r="E48" s="91" t="str">
        <f>+IF(B48&gt;0,1,"No")</f>
        <v>No</v>
      </c>
      <c r="F48" s="110" t="s">
        <v>16</v>
      </c>
    </row>
    <row r="49" spans="1:6" ht="33" x14ac:dyDescent="0.3">
      <c r="A49" s="96" t="s">
        <v>68</v>
      </c>
      <c r="B49" s="138"/>
      <c r="E49" s="91" t="str">
        <f>+IF(B49&gt;0,1,"No")</f>
        <v>No</v>
      </c>
      <c r="F49" s="110" t="s">
        <v>16</v>
      </c>
    </row>
    <row r="50" spans="1:6" ht="33" x14ac:dyDescent="0.3">
      <c r="A50" s="96" t="s">
        <v>69</v>
      </c>
      <c r="B50" s="140"/>
      <c r="F50" s="110"/>
    </row>
    <row r="51" spans="1:6" ht="33" x14ac:dyDescent="0.3">
      <c r="A51" s="96" t="s">
        <v>70</v>
      </c>
      <c r="B51" s="138"/>
      <c r="F51" s="110"/>
    </row>
    <row r="52" spans="1:6" ht="20.25" x14ac:dyDescent="0.35">
      <c r="A52" s="201" t="s">
        <v>71</v>
      </c>
      <c r="B52" s="201"/>
      <c r="F52" s="110"/>
    </row>
    <row r="53" spans="1:6" x14ac:dyDescent="0.3">
      <c r="A53" s="94" t="s">
        <v>32</v>
      </c>
      <c r="B53" s="94" t="s">
        <v>13</v>
      </c>
      <c r="F53" s="110"/>
    </row>
    <row r="54" spans="1:6" ht="33" x14ac:dyDescent="0.3">
      <c r="A54" s="96" t="s">
        <v>72</v>
      </c>
      <c r="B54" s="138"/>
      <c r="E54" s="91" t="str">
        <f>+IF(B54&gt;0,1,"No")</f>
        <v>No</v>
      </c>
      <c r="F54" s="110" t="s">
        <v>16</v>
      </c>
    </row>
    <row r="55" spans="1:6" ht="33" x14ac:dyDescent="0.3">
      <c r="A55" s="96" t="s">
        <v>73</v>
      </c>
      <c r="B55" s="138"/>
      <c r="E55" s="91" t="str">
        <f>+IF(B55&gt;0,1,"No")</f>
        <v>No</v>
      </c>
      <c r="F55" s="110" t="s">
        <v>16</v>
      </c>
    </row>
    <row r="56" spans="1:6" x14ac:dyDescent="0.3">
      <c r="A56" s="96" t="s">
        <v>74</v>
      </c>
      <c r="B56" s="138"/>
      <c r="E56" s="91" t="str">
        <f>+IF(B56&gt;0,1,"No")</f>
        <v>No</v>
      </c>
      <c r="F56" s="110" t="s">
        <v>16</v>
      </c>
    </row>
    <row r="57" spans="1:6" x14ac:dyDescent="0.3">
      <c r="A57" s="96" t="s">
        <v>76</v>
      </c>
      <c r="B57" s="138"/>
      <c r="F57" s="110"/>
    </row>
    <row r="58" spans="1:6" x14ac:dyDescent="0.3">
      <c r="A58" s="96" t="s">
        <v>77</v>
      </c>
      <c r="B58" s="138"/>
      <c r="F58" s="110"/>
    </row>
    <row r="59" spans="1:6" ht="33" x14ac:dyDescent="0.3">
      <c r="A59" s="96" t="s">
        <v>78</v>
      </c>
      <c r="B59" s="141"/>
      <c r="E59" s="91">
        <f>+IF(B59&gt;0,1,2)</f>
        <v>2</v>
      </c>
      <c r="F59" s="110"/>
    </row>
    <row r="60" spans="1:6" x14ac:dyDescent="0.3">
      <c r="E60" s="91">
        <v>1</v>
      </c>
      <c r="F60" s="110"/>
    </row>
    <row r="61" spans="1:6" ht="33" x14ac:dyDescent="0.3">
      <c r="A61" s="109" t="s">
        <v>79</v>
      </c>
      <c r="B61" s="141"/>
    </row>
    <row r="62" spans="1:6" x14ac:dyDescent="0.3"/>
    <row r="63" spans="1:6" x14ac:dyDescent="0.3"/>
    <row r="64" spans="1:6"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row r="100" x14ac:dyDescent="0.3"/>
    <row r="101" x14ac:dyDescent="0.3"/>
    <row r="102" x14ac:dyDescent="0.3"/>
    <row r="103" x14ac:dyDescent="0.3"/>
    <row r="104" x14ac:dyDescent="0.3"/>
    <row r="105" x14ac:dyDescent="0.3"/>
    <row r="106" x14ac:dyDescent="0.3"/>
    <row r="107" x14ac:dyDescent="0.3"/>
    <row r="108" x14ac:dyDescent="0.3"/>
    <row r="109" x14ac:dyDescent="0.3"/>
    <row r="110" x14ac:dyDescent="0.3"/>
    <row r="111" x14ac:dyDescent="0.3"/>
    <row r="112" x14ac:dyDescent="0.3"/>
    <row r="113" x14ac:dyDescent="0.3"/>
    <row r="114" x14ac:dyDescent="0.3"/>
    <row r="115" x14ac:dyDescent="0.3"/>
    <row r="116" x14ac:dyDescent="0.3"/>
    <row r="117" x14ac:dyDescent="0.3"/>
  </sheetData>
  <dataConsolidate/>
  <mergeCells count="10">
    <mergeCell ref="A1:B1"/>
    <mergeCell ref="A2:B2"/>
    <mergeCell ref="A37:B37"/>
    <mergeCell ref="A52:B52"/>
    <mergeCell ref="A3:B3"/>
    <mergeCell ref="A17:B17"/>
    <mergeCell ref="A23:B23"/>
    <mergeCell ref="A24:B24"/>
    <mergeCell ref="A30:B30"/>
    <mergeCell ref="A44:B44"/>
  </mergeCells>
  <dataValidations xWindow="478" yWindow="325" count="16">
    <dataValidation type="whole" operator="greaterThanOrEqual" allowBlank="1" showInputMessage="1" showErrorMessage="1" error="La vida util no puede ser inferior a 25 años" promptTitle="INGRESAR ESTE DATO ES OPCIONAL" prompt="Años estimados para la fase operativa del proyecto. " sqref="B8" xr:uid="{095A87A2-16D4-444D-ABE0-9478A0515033}">
      <formula1>25</formula1>
    </dataValidation>
    <dataValidation type="whole" operator="greaterThanOrEqual" allowBlank="1" showInputMessage="1" showErrorMessage="1" prompt="Diligenciar si el usuario es prestador del servicio público de aseo" sqref="B59" xr:uid="{58279C08-BCC7-4A75-8A7C-2269E3C77F2C}">
      <formula1>0</formula1>
    </dataValidation>
    <dataValidation allowBlank="1" showInputMessage="1" showErrorMessage="1" prompt="Diligenciar únicamente si la respuesta anterior es afirmativa_x000a_" sqref="A12 A14" xr:uid="{ED1C3C6E-C808-4844-8ECC-743DAD9DC235}"/>
    <dataValidation allowBlank="1" showInputMessage="1" showErrorMessage="1" prompt="El Plan de Gestión Integral de Residuos Sólidos (PGIRS) es el instrumento de planeación con el que las entidades territoriales establecen las orientaciones para el manejo adecuado de los diferentes tipos de residuos generados en su jurisdicción." sqref="A22" xr:uid="{E3205D1A-887A-4F58-9F51-7546C5DE3C85}"/>
    <dataValidation allowBlank="1" showInputMessage="1" showErrorMessage="1" prompt="Estimados a partir de un estudio elaborado de acuerdo con la metodología de la resolución CRA 720 de 2015 o la Resolución CRA 853 de 2018 según corresponda_x000a_" sqref="A59" xr:uid="{DFE2ABC1-852B-41C4-AE00-F2866E8F12AB}"/>
    <dataValidation type="whole" operator="greaterThan" allowBlank="1" showInputMessage="1" showErrorMessage="1" prompt="Año en el que se estima que el proyecto entre en funcionamiento" sqref="B5" xr:uid="{CADA81A6-E74B-4DEE-828C-1AA1039C6500}">
      <formula1>2020</formula1>
    </dataValidation>
    <dataValidation allowBlank="1" showInputMessage="1" showErrorMessage="1" prompt="Información sobre las características generales del proyecto y para estimar el mercado a atender_x000a_" sqref="A3:B3 A1:B1" xr:uid="{D37700D9-640A-48A7-97DA-9FEEB791B06D}"/>
    <dataValidation type="decimal" allowBlank="1" showInputMessage="1" showErrorMessage="1" error="Por favor revise, el dato no es consistente." promptTitle="INGRESAR ESTE DATO ES OPCIONAL" prompt="Promedio de la cantidad de residuos generada diariamente por cada habitante a atender. En caso de no contar con esta información el Modelo utilizará información de referencia. Esta información puede obternerse de los PGIRS municipales" sqref="B9" xr:uid="{12647902-41EF-4465-93FB-9BD2C5C88FF5}">
      <formula1>0.2</formula1>
      <formula2>2</formula2>
    </dataValidation>
    <dataValidation type="decimal" allowBlank="1" showInputMessage="1" showErrorMessage="1" error="Por favor revise, el dato no es consistente." promptTitle="INGRESAR ESTE DATO ES OPCIONAL" prompt="Proporción porcentual de la fracción orgánica de los residuos (residuos de comida, de jardinería, vegetales, madereros, entre otros). En caso de no contar con esta información el Modelo utilizará información de referencia." sqref="B10" xr:uid="{BCD11313-5151-4C62-A373-0BAD42C133CE}">
      <formula1>0</formula1>
      <formula2>1</formula2>
    </dataValidation>
    <dataValidation allowBlank="1" showInputMessage="1" showErrorMessage="1" prompt="Indicar la información solicitada en referencia al municipio principal_x000a__x000a_" sqref="A17:B17" xr:uid="{B5F2BA82-C56A-44CA-B24D-D8DB0660FE33}"/>
    <dataValidation allowBlank="1" showInputMessage="1" showErrorMessage="1" prompt="Indicar la información solicitada en referencia al municipio principal" sqref="A52:B52 A23:B23" xr:uid="{193250B0-35D9-4B65-A000-B8B6577FA2EC}"/>
    <dataValidation allowBlank="1" showInputMessage="1" showErrorMessage="1" prompt="_x000a_" sqref="A20" xr:uid="{CA404BC6-C45C-4720-9D73-F0A1EADECEA2}"/>
    <dataValidation type="whole" operator="greaterThan" allowBlank="1" showInputMessage="1" showErrorMessage="1" promptTitle="INGRESAR ESTE DATO ES OPCIONAL" prompt="Cantidad total de habitantes a atender por el proyecto analizado. Si es un proyecto regional se debe incluir la población de todos los municipios atendidos." sqref="B7" xr:uid="{BF9FD88D-F0CF-4E2A-9B79-045A0EBD6BE2}">
      <formula1>0</formula1>
    </dataValidation>
    <dataValidation type="decimal" operator="greaterThanOrEqual" allowBlank="1" showInputMessage="1" showErrorMessage="1" prompt="Distancia aproximada entre el centroíde del municipio principal y el sitio de disposición final en kilómetros_x000a_" sqref="B34" xr:uid="{879014C8-0521-484A-8B06-2682538A6D8A}">
      <formula1>0</formula1>
    </dataValidation>
    <dataValidation operator="greaterThanOrEqual" allowBlank="1" showInputMessage="1" showErrorMessage="1" prompt="Distancia aproximada entre el centroíde del municipio principal y el sitio de disposición final en kilómetros_x000a_" sqref="B35" xr:uid="{4475D186-C5DD-4C03-A3A8-E3C4C0203216}"/>
    <dataValidation type="decimal" operator="greaterThanOrEqual" allowBlank="1" showInputMessage="1" showErrorMessage="1" promptTitle="INGRESAR ESTE DATO ES OPCIONAL" prompt="Diligenciar únicamente si la respuesta anterior es negativa. Distancia aproximada entre el centroíde del municipio principal y el sitio dónde se ubicará la infraestructura del proyecto_x000a__x000a_" sqref="B51" xr:uid="{160379A3-0BDD-47C1-9EFA-8DA7D2CD0934}">
      <formula1>0</formula1>
    </dataValidation>
  </dataValidations>
  <pageMargins left="0.7" right="0.7" top="0.75" bottom="0.75" header="0.3" footer="0.3"/>
  <pageSetup scale="5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66" r:id="rId4" name="Button 142">
              <controlPr defaultSize="0" print="0" autoFill="0" autoPict="0" macro="[0]!Portada">
                <anchor moveWithCells="1" sizeWithCells="1">
                  <from>
                    <xdr:col>2</xdr:col>
                    <xdr:colOff>247650</xdr:colOff>
                    <xdr:row>1</xdr:row>
                    <xdr:rowOff>381000</xdr:rowOff>
                  </from>
                  <to>
                    <xdr:col>3</xdr:col>
                    <xdr:colOff>647700</xdr:colOff>
                    <xdr:row>1</xdr:row>
                    <xdr:rowOff>638175</xdr:rowOff>
                  </to>
                </anchor>
              </controlPr>
            </control>
          </mc:Choice>
        </mc:AlternateContent>
        <mc:AlternateContent xmlns:mc="http://schemas.openxmlformats.org/markup-compatibility/2006">
          <mc:Choice Requires="x14">
            <control shapeId="1167" r:id="rId5" name="Button 143">
              <controlPr defaultSize="0" print="0" autoFill="0" autoPict="0" macro="[0]!Resultados">
                <anchor moveWithCells="1" sizeWithCells="1">
                  <from>
                    <xdr:col>2</xdr:col>
                    <xdr:colOff>247650</xdr:colOff>
                    <xdr:row>1</xdr:row>
                    <xdr:rowOff>723900</xdr:rowOff>
                  </from>
                  <to>
                    <xdr:col>3</xdr:col>
                    <xdr:colOff>647700</xdr:colOff>
                    <xdr:row>1</xdr:row>
                    <xdr:rowOff>981075</xdr:rowOff>
                  </to>
                </anchor>
              </controlPr>
            </control>
          </mc:Choice>
        </mc:AlternateContent>
        <mc:AlternateContent xmlns:mc="http://schemas.openxmlformats.org/markup-compatibility/2006">
          <mc:Choice Requires="x14">
            <control shapeId="1205" r:id="rId6" name="Button 181">
              <controlPr defaultSize="0" print="0" autoFill="0" autoPict="0" macro="[0]!Resultados">
                <anchor moveWithCells="1" sizeWithCells="1">
                  <from>
                    <xdr:col>2</xdr:col>
                    <xdr:colOff>438150</xdr:colOff>
                    <xdr:row>59</xdr:row>
                    <xdr:rowOff>200025</xdr:rowOff>
                  </from>
                  <to>
                    <xdr:col>3</xdr:col>
                    <xdr:colOff>676275</xdr:colOff>
                    <xdr:row>61</xdr:row>
                    <xdr:rowOff>19050</xdr:rowOff>
                  </to>
                </anchor>
              </controlPr>
            </control>
          </mc:Choice>
        </mc:AlternateContent>
        <mc:AlternateContent xmlns:mc="http://schemas.openxmlformats.org/markup-compatibility/2006">
          <mc:Choice Requires="x14">
            <control shapeId="1168" r:id="rId7" name="Button 144">
              <controlPr defaultSize="0" print="0" autoFill="0" autoPict="0" macro="[0]!Instrucciones">
                <anchor moveWithCells="1" sizeWithCells="1">
                  <from>
                    <xdr:col>2</xdr:col>
                    <xdr:colOff>247650</xdr:colOff>
                    <xdr:row>1</xdr:row>
                    <xdr:rowOff>9525</xdr:rowOff>
                  </from>
                  <to>
                    <xdr:col>3</xdr:col>
                    <xdr:colOff>647700</xdr:colOff>
                    <xdr:row>1</xdr:row>
                    <xdr:rowOff>314325</xdr:rowOff>
                  </to>
                </anchor>
              </controlPr>
            </control>
          </mc:Choice>
        </mc:AlternateContent>
        <mc:AlternateContent xmlns:mc="http://schemas.openxmlformats.org/markup-compatibility/2006">
          <mc:Choice Requires="x14">
            <control shapeId="1283" r:id="rId8" name="Button 259">
              <controlPr defaultSize="0" print="0" autoFill="0" autoPict="0" macro="[0]!Municipios">
                <anchor moveWithCells="1" sizeWithCells="1">
                  <from>
                    <xdr:col>1</xdr:col>
                    <xdr:colOff>523875</xdr:colOff>
                    <xdr:row>15</xdr:row>
                    <xdr:rowOff>76200</xdr:rowOff>
                  </from>
                  <to>
                    <xdr:col>1</xdr:col>
                    <xdr:colOff>3752850</xdr:colOff>
                    <xdr:row>15</xdr:row>
                    <xdr:rowOff>333375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78" yWindow="325" count="25">
        <x14:dataValidation type="list" allowBlank="1" showInputMessage="1" showErrorMessage="1" prompt="La Medición de Desempeño Municipal (MDM) tiene como objetivo medir, comparar y ordenar a los municipios según su desempeño. La realiza el Departamento Nacional de Planeación y sus resultados pueden consultarse en:  _x000a__x000a_www.portalterritorial.dnp.gov.co_x000a__x000a__x000a__x000a_" xr:uid="{CC100FBF-CB2B-4C30-A5A0-7B3FE8875576}">
          <x14:formula1>
            <xm:f>Listas!$A$2:$A$6</xm:f>
          </x14:formula1>
          <xm:sqref>B19</xm:sqref>
        </x14:dataValidation>
        <x14:dataValidation type="list" allowBlank="1" showInputMessage="1" showErrorMessage="1" prompt="La Ley 617 de 2000 estableció una categorización de las entidades territoriales, definiendo los criterios para la categorización presupuestal de los departamentos y municipios. _x000a__x000a_Esta puede consultarse en:_x000a_www.contaduria.gov.co" xr:uid="{88295749-50BD-4949-B0F4-47A6001D6A75}">
          <x14:formula1>
            <xm:f>Listas!$C$2:$C$8</xm:f>
          </x14:formula1>
          <xm:sqref>B21</xm:sqref>
        </x14:dataValidation>
        <x14:dataValidation type="list" allowBlank="1" showInputMessage="1" showErrorMessage="1" xr:uid="{D20E6737-DF9B-41A8-9A32-D4C0D1EE4266}">
          <x14:formula1>
            <xm:f>Listas!$E$2:$E$3</xm:f>
          </x14:formula1>
          <xm:sqref>B40 B55 B29 B58</xm:sqref>
        </x14:dataValidation>
        <x14:dataValidation type="list" allowBlank="1" showInputMessage="1" showErrorMessage="1" xr:uid="{7D97E4C2-34E9-4DAA-9E24-EC3359E04ED3}">
          <x14:formula1>
            <xm:f>Listas!$G$2:$G$6</xm:f>
          </x14:formula1>
          <xm:sqref>B36</xm:sqref>
        </x14:dataValidation>
        <x14:dataValidation type="list" allowBlank="1" showInputMessage="1" showErrorMessage="1" xr:uid="{2EA881EF-A2F3-487F-9066-79FB44A998F0}">
          <x14:formula1>
            <xm:f>Listas!$A$14:$A$18</xm:f>
          </x14:formula1>
          <xm:sqref>B39</xm:sqref>
        </x14:dataValidation>
        <x14:dataValidation type="list" allowBlank="1" showInputMessage="1" showErrorMessage="1" xr:uid="{81C249FE-0127-4BC0-8226-43A77D706C79}">
          <x14:formula1>
            <xm:f>Listas!$C$14:$C$16</xm:f>
          </x14:formula1>
          <xm:sqref>B43</xm:sqref>
        </x14:dataValidation>
        <x14:dataValidation type="list" allowBlank="1" showInputMessage="1" showErrorMessage="1" xr:uid="{FBC2BF14-4D67-4A82-B731-3F68BDB2E86C}">
          <x14:formula1>
            <xm:f>Listas!$G$14:$G$17</xm:f>
          </x14:formula1>
          <xm:sqref>B32:B33</xm:sqref>
        </x14:dataValidation>
        <x14:dataValidation type="list" allowBlank="1" showInputMessage="1" showErrorMessage="1" prompt="Años de vida remanente según el operador o revisar el Informe de Disposición Final de la Superintendencia de Servicios Públicos Domiciliarios que se encuentre más actualizado. Botaderos y celdas transitorias deben escoger Menor de 5 años" xr:uid="{A592E447-DB4F-4A21-95FF-4A3C02EC2AD6}">
          <x14:formula1>
            <xm:f>Listas!$C$23:$C$27</xm:f>
          </x14:formula1>
          <xm:sqref>B42</xm:sqref>
        </x14:dataValidation>
        <x14:dataValidation type="list" allowBlank="1" showInputMessage="1" showErrorMessage="1" prompt="Diligenciar si el usuario es prestador del servicio público de aseo" xr:uid="{CC3B1DCD-7E5A-422F-85C3-0D8646121E8C}">
          <x14:formula1>
            <xm:f>Listas!$E$23:$E$27</xm:f>
          </x14:formula1>
          <xm:sqref>B57</xm:sqref>
        </x14:dataValidation>
        <x14:dataValidation type="list" allowBlank="1" showInputMessage="1" showErrorMessage="1" prompt="El proyecto es Regional si este atiende a la población de más de un (1) municipio" xr:uid="{8BAEE76E-6F82-4CD8-B029-AB8111A039F1}">
          <x14:formula1>
            <xm:f>Listas!$E$2:$E$3</xm:f>
          </x14:formula1>
          <xm:sqref>B6</xm:sqref>
        </x14:dataValidation>
        <x14:dataValidation type="list" allowBlank="1" showInputMessage="1" showErrorMessage="1" prompt="Indicar si el proyecto contempla la gestión de residuos provenientes de plazas de mercado y/o centrales de abasto." xr:uid="{5979C917-2788-4239-87A0-F8C2630933D7}">
          <x14:formula1>
            <xm:f>Listas!$E$2:$E$3</xm:f>
          </x14:formula1>
          <xm:sqref>B11</xm:sqref>
        </x14:dataValidation>
        <x14:dataValidation type="list" allowBlank="1" showInputMessage="1" showErrorMessage="1" prompt="Indicar si el proyecto contempla la gestión de residuos provenientes de plazas de las actividades del Servicio Público de Aseo de Poda de árboles y corte de césped." xr:uid="{133AD73D-1AEA-497D-9C7A-438A9165F83A}">
          <x14:formula1>
            <xm:f>Listas!$E$2:$E$3</xm:f>
          </x14:formula1>
          <xm:sqref>B13</xm:sqref>
        </x14:dataValidation>
        <x14:dataValidation type="list" allowBlank="1" showInputMessage="1" showErrorMessage="1" prompt="El Plan de Gestión Integral de Residuos Sólidos (PGIRS) es el instrumento de planeación de las entidades territoriales con respecto a los residuos generados en sus jurisdicciones y el cual debe elaborarse para un horizonte de 12 años y revisarse cada 4. " xr:uid="{CBEE3F17-7230-4152-9E33-ED89CF1E9A09}">
          <x14:formula1>
            <xm:f>Listas!$E$2:$E$3</xm:f>
          </x14:formula1>
          <xm:sqref>B22</xm:sqref>
        </x14:dataValidation>
        <x14:dataValidation type="list" allowBlank="1" showInputMessage="1" showErrorMessage="1" prompt="Indicar si el municipio cuenta con un Programa de Desarrollo con Enfoque Territorial (PDET) o si hace parte de las Zonas más Afectadas por el Conflicto Armado (ZOMAC)." xr:uid="{EC2F1801-34FA-4AC1-BAA2-960990CF3CA0}">
          <x14:formula1>
            <xm:f>Listas!$E$2:$E$3</xm:f>
          </x14:formula1>
          <xm:sqref>B20</xm:sqref>
        </x14:dataValidation>
        <x14:dataValidation type="list" allowBlank="1" showInputMessage="1" showErrorMessage="1" prompt="Indicar si existe recolección y transporte selectivo para residuos aprovechables" xr:uid="{EC7AC4AE-1912-4EF7-B489-3CD19E8FBD6F}">
          <x14:formula1>
            <xm:f>Listas!$E$2:$E$3</xm:f>
          </x14:formula1>
          <xm:sqref>B26</xm:sqref>
        </x14:dataValidation>
        <x14:dataValidation type="list" allowBlank="1" showInputMessage="1" showErrorMessage="1" prompt="Indicar si los habitantes realizan separación en la fuente de los residuos orgánicos" xr:uid="{AAFDEA6B-C861-4318-B284-6FACCCC1944F}">
          <x14:formula1>
            <xm:f>Listas!$E$2:$E$3</xm:f>
          </x14:formula1>
          <xm:sqref>B27</xm:sqref>
        </x14:dataValidation>
        <x14:dataValidation type="list" allowBlank="1" showInputMessage="1" showErrorMessage="1" prompt="Indicar si los habitantes realizan separación en la fuente de los residuos inorgánicos" xr:uid="{265144BA-3950-41D2-9395-AB91815A88B9}">
          <x14:formula1>
            <xm:f>Listas!$E$2:$E$3</xm:f>
          </x14:formula1>
          <xm:sqref>B28</xm:sqref>
        </x14:dataValidation>
        <x14:dataValidation type="list" allowBlank="1" showInputMessage="1" showErrorMessage="1" prompt="Cantidad de años desde que el sitio de disposición final entró en operación" xr:uid="{56F2F9F8-A97C-4CED-9421-196FA122F069}">
          <x14:formula1>
            <xm:f>Listas!$C$23:$C$27</xm:f>
          </x14:formula1>
          <xm:sqref>B41</xm:sqref>
        </x14:dataValidation>
        <x14:dataValidation type="list" allowBlank="1" showInputMessage="1" showErrorMessage="1" prompt="Su identificación, delimitación e inclusión en la cartografía oficial es responsabilidad de la entidad territorial" xr:uid="{2EABF6F9-B339-4BDF-8550-9A72D02242E9}">
          <x14:formula1>
            <xm:f>Listas!$E$2:$E$3</xm:f>
          </x14:formula1>
          <xm:sqref>B46:B49</xm:sqref>
        </x14:dataValidation>
        <x14:dataValidation type="list" allowBlank="1" showInputMessage="1" showErrorMessage="1" prompt="Verificar si la actividad de tratamiento se considera viable según lo establecido en el PGIRS" xr:uid="{3B145CF4-C70E-43E8-96BC-F5506C8AD429}">
          <x14:formula1>
            <xm:f>Listas!$E$2:$E$3</xm:f>
          </x14:formula1>
          <xm:sqref>B54</xm:sqref>
        </x14:dataValidation>
        <x14:dataValidation type="list" allowBlank="1" showInputMessage="1" showErrorMessage="1" prompt="La medida de pobreza multidimensional está conformada por cinco dimensiones: condiciones educativascondiciones de la niñez y la juventud, salud, trabajo y condiciones de la vivienda y accesos a servicios públicos. _x000a__x000a_Puede consultarse en:_x000a__x000a_www.mppn.org/" xr:uid="{AC835213-65A7-4AF8-85E2-5E7B4738200D}">
          <x14:formula1>
            <xm:f>Listas!$E$23:$E$27</xm:f>
          </x14:formula1>
          <xm:sqref>B56</xm:sqref>
        </x14:dataValidation>
        <x14:dataValidation type="list" allowBlank="1" showInputMessage="1" showErrorMessage="1" prompt="Indicar el municipio con mayor participación en la cantidad de residuos a tratar_x000a_" xr:uid="{BF33E4C4-607A-4F10-8399-2AE28DE99DF5}">
          <x14:formula1>
            <xm:f>'Información municipios'!$E$3:$E$1124</xm:f>
          </x14:formula1>
          <xm:sqref>B15:B16</xm:sqref>
        </x14:dataValidation>
        <x14:dataValidation type="list" allowBlank="1" showInputMessage="1" showErrorMessage="1" prompt="Ubicar el proyecto a una distancia inferior a la del relleno sanitario permite evitar costos en el transporte y la recolección de los mismos. No obstante. el predio debe cumplir con las consideraciones normativas y ambientales que apliquen" xr:uid="{C933FED5-7F75-40D9-90FD-99577205F74D}">
          <x14:formula1>
            <xm:f>Listas!$E$2:$E$3</xm:f>
          </x14:formula1>
          <xm:sqref>B50</xm:sqref>
        </x14:dataValidation>
        <x14:dataValidation type="decimal" operator="greaterThanOrEqual" allowBlank="1" showInputMessage="1" showErrorMessage="1" error="Solo si la respuesta anterior fue &quot;Si&quot; proceda a indicar el monto &gt; 0" prompt="En caso de que la anterior respuesta sea afirmativa, indicar la cantidad anual estimada de residuos provenientes de las actividades de poda de árboles y corte de césped. En caso de un proyecto regional, incluir las cantidades de todos los municipios_x000a_" xr:uid="{5641126A-9360-4E76-941B-94C70B52C64D}">
          <x14:formula1>
            <xm:f>Cálculo!B322</xm:f>
          </x14:formula1>
          <xm:sqref>B14</xm:sqref>
        </x14:dataValidation>
        <x14:dataValidation type="whole" operator="greaterThanOrEqual" allowBlank="1" showInputMessage="1" showErrorMessage="1" error="Solo si la respuesta anterior fue &quot;Si&quot; debe incluir un valor númerico &gt; 0 de lo contrario no digite la celda" prompt="En caso de que la anterior respuesta sea afirmativa, indicar la cantidad anual estimada de residuos provenientes de las actividades de poda de árboles y corte de césped. _x000a_" xr:uid="{A460AA24-3D87-4D3A-B892-06EEA0C1DC8D}">
          <x14:formula1>
            <xm:f>Cálculo!B321</xm:f>
          </x14:formula1>
          <xm:sqref>B12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BD78A-9E6C-4B69-851D-4B6D87063D80}">
  <sheetPr codeName="Hoja15">
    <tabColor theme="7"/>
  </sheetPr>
  <dimension ref="A1:D121"/>
  <sheetViews>
    <sheetView topLeftCell="C1" workbookViewId="0">
      <pane ySplit="1" topLeftCell="A2" activePane="bottomLeft" state="frozen"/>
      <selection pane="bottomLeft" activeCell="B10" sqref="B10"/>
    </sheetView>
  </sheetViews>
  <sheetFormatPr baseColWidth="10" defaultColWidth="0" defaultRowHeight="15" zeroHeight="1" x14ac:dyDescent="0.25"/>
  <cols>
    <col min="1" max="1" width="13.28515625" style="116" customWidth="1"/>
    <col min="2" max="2" width="56.28515625" customWidth="1"/>
    <col min="3" max="4" width="11.42578125" style="2" customWidth="1"/>
    <col min="5" max="16384" width="11.42578125" hidden="1"/>
  </cols>
  <sheetData>
    <row r="1" spans="1:2" ht="42.75" customHeight="1" x14ac:dyDescent="0.25">
      <c r="A1" s="118" t="s">
        <v>80</v>
      </c>
      <c r="B1" s="118" t="s">
        <v>81</v>
      </c>
    </row>
    <row r="2" spans="1:2" ht="16.5" x14ac:dyDescent="0.25">
      <c r="A2" s="118">
        <v>1</v>
      </c>
      <c r="B2" s="119" t="s">
        <v>82</v>
      </c>
    </row>
    <row r="3" spans="1:2" ht="16.5" x14ac:dyDescent="0.25">
      <c r="A3" s="118">
        <v>2</v>
      </c>
      <c r="B3" s="119" t="s">
        <v>83</v>
      </c>
    </row>
    <row r="4" spans="1:2" ht="16.5" x14ac:dyDescent="0.25">
      <c r="A4" s="118">
        <v>3</v>
      </c>
      <c r="B4" s="119" t="s">
        <v>84</v>
      </c>
    </row>
    <row r="5" spans="1:2" ht="16.5" x14ac:dyDescent="0.25">
      <c r="A5" s="118">
        <v>4</v>
      </c>
      <c r="B5" s="119" t="s">
        <v>85</v>
      </c>
    </row>
    <row r="6" spans="1:2" ht="16.5" x14ac:dyDescent="0.25">
      <c r="A6" s="118">
        <v>5</v>
      </c>
      <c r="B6" s="119" t="s">
        <v>86</v>
      </c>
    </row>
    <row r="7" spans="1:2" ht="16.5" x14ac:dyDescent="0.25">
      <c r="A7" s="118">
        <v>6</v>
      </c>
      <c r="B7" s="119" t="s">
        <v>87</v>
      </c>
    </row>
    <row r="8" spans="1:2" ht="16.5" x14ac:dyDescent="0.25">
      <c r="A8" s="118">
        <v>7</v>
      </c>
      <c r="B8" s="119" t="s">
        <v>88</v>
      </c>
    </row>
    <row r="9" spans="1:2" ht="16.5" x14ac:dyDescent="0.25">
      <c r="A9" s="118">
        <v>8</v>
      </c>
      <c r="B9" s="119" t="s">
        <v>89</v>
      </c>
    </row>
    <row r="10" spans="1:2" ht="16.5" x14ac:dyDescent="0.25">
      <c r="A10" s="118">
        <v>9</v>
      </c>
      <c r="B10" s="119"/>
    </row>
    <row r="11" spans="1:2" ht="16.5" x14ac:dyDescent="0.25">
      <c r="A11" s="118">
        <v>10</v>
      </c>
      <c r="B11" s="119"/>
    </row>
    <row r="12" spans="1:2" ht="16.5" x14ac:dyDescent="0.25">
      <c r="A12" s="118">
        <v>11</v>
      </c>
      <c r="B12" s="119"/>
    </row>
    <row r="13" spans="1:2" ht="16.5" x14ac:dyDescent="0.25">
      <c r="A13" s="118">
        <v>12</v>
      </c>
      <c r="B13" s="119"/>
    </row>
    <row r="14" spans="1:2" ht="16.5" x14ac:dyDescent="0.25">
      <c r="A14" s="118">
        <v>13</v>
      </c>
      <c r="B14" s="119"/>
    </row>
    <row r="15" spans="1:2" ht="16.5" x14ac:dyDescent="0.25">
      <c r="A15" s="118">
        <v>14</v>
      </c>
      <c r="B15" s="119"/>
    </row>
    <row r="16" spans="1:2" ht="16.5" x14ac:dyDescent="0.25">
      <c r="A16" s="118">
        <v>15</v>
      </c>
      <c r="B16" s="119"/>
    </row>
    <row r="17" spans="1:2" ht="16.5" x14ac:dyDescent="0.25">
      <c r="A17" s="118">
        <v>16</v>
      </c>
      <c r="B17" s="119"/>
    </row>
    <row r="18" spans="1:2" ht="16.5" x14ac:dyDescent="0.25">
      <c r="A18" s="118">
        <v>17</v>
      </c>
      <c r="B18" s="119"/>
    </row>
    <row r="19" spans="1:2" ht="16.5" x14ac:dyDescent="0.25">
      <c r="A19" s="118">
        <v>18</v>
      </c>
      <c r="B19" s="119"/>
    </row>
    <row r="20" spans="1:2" ht="16.5" x14ac:dyDescent="0.25">
      <c r="A20" s="118">
        <v>19</v>
      </c>
      <c r="B20" s="119"/>
    </row>
    <row r="21" spans="1:2" ht="16.5" x14ac:dyDescent="0.25">
      <c r="A21" s="118">
        <v>20</v>
      </c>
      <c r="B21" s="119"/>
    </row>
    <row r="22" spans="1:2" ht="16.5" x14ac:dyDescent="0.25">
      <c r="A22" s="118">
        <v>21</v>
      </c>
      <c r="B22" s="119"/>
    </row>
    <row r="23" spans="1:2" ht="16.5" x14ac:dyDescent="0.25">
      <c r="A23" s="118">
        <v>22</v>
      </c>
      <c r="B23" s="119"/>
    </row>
    <row r="24" spans="1:2" ht="16.5" x14ac:dyDescent="0.25">
      <c r="A24" s="118">
        <v>23</v>
      </c>
      <c r="B24" s="119"/>
    </row>
    <row r="25" spans="1:2" ht="16.5" x14ac:dyDescent="0.25">
      <c r="A25" s="118">
        <v>24</v>
      </c>
      <c r="B25" s="119"/>
    </row>
    <row r="26" spans="1:2" ht="16.5" x14ac:dyDescent="0.25">
      <c r="A26" s="118">
        <v>25</v>
      </c>
      <c r="B26" s="119"/>
    </row>
    <row r="27" spans="1:2" ht="16.5" x14ac:dyDescent="0.25">
      <c r="A27" s="118">
        <v>26</v>
      </c>
      <c r="B27" s="119"/>
    </row>
    <row r="28" spans="1:2" ht="16.5" x14ac:dyDescent="0.25">
      <c r="A28" s="118">
        <v>27</v>
      </c>
      <c r="B28" s="119"/>
    </row>
    <row r="29" spans="1:2" ht="16.5" x14ac:dyDescent="0.25">
      <c r="A29" s="118">
        <v>28</v>
      </c>
      <c r="B29" s="119"/>
    </row>
    <row r="30" spans="1:2" ht="16.5" x14ac:dyDescent="0.25">
      <c r="A30" s="118">
        <v>29</v>
      </c>
      <c r="B30" s="119"/>
    </row>
    <row r="31" spans="1:2" ht="16.5" x14ac:dyDescent="0.25">
      <c r="A31" s="118">
        <v>30</v>
      </c>
      <c r="B31" s="119"/>
    </row>
    <row r="32" spans="1:2" ht="16.5" x14ac:dyDescent="0.25">
      <c r="A32" s="118">
        <v>31</v>
      </c>
      <c r="B32" s="119"/>
    </row>
    <row r="33" spans="1:2" ht="16.5" x14ac:dyDescent="0.25">
      <c r="A33" s="118">
        <v>32</v>
      </c>
      <c r="B33" s="119"/>
    </row>
    <row r="34" spans="1:2" ht="16.5" x14ac:dyDescent="0.25">
      <c r="A34" s="118">
        <v>33</v>
      </c>
      <c r="B34" s="119"/>
    </row>
    <row r="35" spans="1:2" ht="16.5" x14ac:dyDescent="0.25">
      <c r="A35" s="118">
        <v>34</v>
      </c>
      <c r="B35" s="119"/>
    </row>
    <row r="36" spans="1:2" ht="16.5" x14ac:dyDescent="0.25">
      <c r="A36" s="118">
        <v>35</v>
      </c>
      <c r="B36" s="119"/>
    </row>
    <row r="37" spans="1:2" ht="16.5" x14ac:dyDescent="0.25">
      <c r="A37" s="118">
        <v>36</v>
      </c>
      <c r="B37" s="119"/>
    </row>
    <row r="38" spans="1:2" ht="16.5" x14ac:dyDescent="0.25">
      <c r="A38" s="118">
        <v>37</v>
      </c>
      <c r="B38" s="119"/>
    </row>
    <row r="39" spans="1:2" ht="16.5" x14ac:dyDescent="0.25">
      <c r="A39" s="118">
        <v>38</v>
      </c>
      <c r="B39" s="119"/>
    </row>
    <row r="40" spans="1:2" ht="16.5" x14ac:dyDescent="0.25">
      <c r="A40" s="118">
        <v>39</v>
      </c>
      <c r="B40" s="119"/>
    </row>
    <row r="41" spans="1:2" ht="16.5" x14ac:dyDescent="0.25">
      <c r="A41" s="118">
        <v>40</v>
      </c>
      <c r="B41" s="119"/>
    </row>
    <row r="42" spans="1:2" ht="16.5" x14ac:dyDescent="0.25">
      <c r="A42" s="118">
        <v>41</v>
      </c>
      <c r="B42" s="119"/>
    </row>
    <row r="43" spans="1:2" ht="16.5" x14ac:dyDescent="0.25">
      <c r="A43" s="118">
        <v>42</v>
      </c>
      <c r="B43" s="119"/>
    </row>
    <row r="44" spans="1:2" ht="16.5" x14ac:dyDescent="0.25">
      <c r="A44" s="118">
        <v>43</v>
      </c>
      <c r="B44" s="119"/>
    </row>
    <row r="45" spans="1:2" ht="16.5" x14ac:dyDescent="0.25">
      <c r="A45" s="118">
        <v>44</v>
      </c>
      <c r="B45" s="119"/>
    </row>
    <row r="46" spans="1:2" ht="16.5" x14ac:dyDescent="0.25">
      <c r="A46" s="118">
        <v>45</v>
      </c>
      <c r="B46" s="119"/>
    </row>
    <row r="47" spans="1:2" ht="16.5" x14ac:dyDescent="0.25">
      <c r="A47" s="118">
        <v>46</v>
      </c>
      <c r="B47" s="119"/>
    </row>
    <row r="48" spans="1:2" ht="16.5" x14ac:dyDescent="0.25">
      <c r="A48" s="118">
        <v>47</v>
      </c>
      <c r="B48" s="119"/>
    </row>
    <row r="49" spans="1:2" ht="16.5" x14ac:dyDescent="0.25">
      <c r="A49" s="118">
        <v>48</v>
      </c>
      <c r="B49" s="119"/>
    </row>
    <row r="50" spans="1:2" ht="16.5" x14ac:dyDescent="0.25">
      <c r="A50" s="118">
        <v>49</v>
      </c>
      <c r="B50" s="119"/>
    </row>
    <row r="51" spans="1:2" ht="16.5" x14ac:dyDescent="0.25">
      <c r="A51" s="118">
        <v>50</v>
      </c>
      <c r="B51" s="119"/>
    </row>
    <row r="52" spans="1:2" ht="16.5" x14ac:dyDescent="0.25">
      <c r="A52" s="118">
        <v>51</v>
      </c>
      <c r="B52" s="119"/>
    </row>
    <row r="53" spans="1:2" ht="16.5" x14ac:dyDescent="0.25">
      <c r="A53" s="118">
        <v>52</v>
      </c>
      <c r="B53" s="119"/>
    </row>
    <row r="54" spans="1:2" ht="16.5" x14ac:dyDescent="0.25">
      <c r="A54" s="118">
        <v>53</v>
      </c>
      <c r="B54" s="119"/>
    </row>
    <row r="55" spans="1:2" ht="16.5" x14ac:dyDescent="0.25">
      <c r="A55" s="118">
        <v>54</v>
      </c>
      <c r="B55" s="119"/>
    </row>
    <row r="56" spans="1:2" ht="16.5" x14ac:dyDescent="0.25">
      <c r="A56" s="118">
        <v>55</v>
      </c>
      <c r="B56" s="119"/>
    </row>
    <row r="57" spans="1:2" ht="16.5" x14ac:dyDescent="0.25">
      <c r="A57" s="118">
        <v>56</v>
      </c>
      <c r="B57" s="119"/>
    </row>
    <row r="58" spans="1:2" ht="16.5" x14ac:dyDescent="0.25">
      <c r="A58" s="118">
        <v>57</v>
      </c>
      <c r="B58" s="119"/>
    </row>
    <row r="59" spans="1:2" ht="16.5" x14ac:dyDescent="0.25">
      <c r="A59" s="118">
        <v>58</v>
      </c>
      <c r="B59" s="119"/>
    </row>
    <row r="60" spans="1:2" ht="16.5" x14ac:dyDescent="0.25">
      <c r="A60" s="118">
        <v>59</v>
      </c>
      <c r="B60" s="119"/>
    </row>
    <row r="61" spans="1:2" ht="16.5" x14ac:dyDescent="0.25">
      <c r="A61" s="118">
        <v>60</v>
      </c>
      <c r="B61" s="119"/>
    </row>
    <row r="62" spans="1:2" ht="16.5" x14ac:dyDescent="0.25">
      <c r="A62" s="118">
        <v>61</v>
      </c>
      <c r="B62" s="119"/>
    </row>
    <row r="63" spans="1:2" ht="16.5" x14ac:dyDescent="0.25">
      <c r="A63" s="118">
        <v>62</v>
      </c>
      <c r="B63" s="119"/>
    </row>
    <row r="64" spans="1:2" ht="16.5" x14ac:dyDescent="0.25">
      <c r="A64" s="118">
        <v>63</v>
      </c>
      <c r="B64" s="119"/>
    </row>
    <row r="65" spans="1:2" ht="16.5" x14ac:dyDescent="0.25">
      <c r="A65" s="118">
        <v>64</v>
      </c>
      <c r="B65" s="119"/>
    </row>
    <row r="66" spans="1:2" ht="16.5" x14ac:dyDescent="0.25">
      <c r="A66" s="118">
        <v>65</v>
      </c>
      <c r="B66" s="119"/>
    </row>
    <row r="67" spans="1:2" ht="16.5" x14ac:dyDescent="0.25">
      <c r="A67" s="118">
        <v>66</v>
      </c>
      <c r="B67" s="119"/>
    </row>
    <row r="68" spans="1:2" ht="16.5" x14ac:dyDescent="0.25">
      <c r="A68" s="118">
        <v>67</v>
      </c>
      <c r="B68" s="119"/>
    </row>
    <row r="69" spans="1:2" ht="16.5" x14ac:dyDescent="0.25">
      <c r="A69" s="118">
        <v>68</v>
      </c>
      <c r="B69" s="119"/>
    </row>
    <row r="70" spans="1:2" ht="16.5" x14ac:dyDescent="0.25">
      <c r="A70" s="118">
        <v>69</v>
      </c>
      <c r="B70" s="119"/>
    </row>
    <row r="71" spans="1:2" ht="16.5" x14ac:dyDescent="0.25">
      <c r="A71" s="118">
        <v>70</v>
      </c>
      <c r="B71" s="119"/>
    </row>
    <row r="72" spans="1:2" ht="16.5" x14ac:dyDescent="0.25">
      <c r="A72" s="118">
        <v>71</v>
      </c>
      <c r="B72" s="119"/>
    </row>
    <row r="73" spans="1:2" ht="16.5" x14ac:dyDescent="0.25">
      <c r="A73" s="118">
        <v>72</v>
      </c>
      <c r="B73" s="119"/>
    </row>
    <row r="74" spans="1:2" ht="16.5" x14ac:dyDescent="0.25">
      <c r="A74" s="118">
        <v>73</v>
      </c>
      <c r="B74" s="119"/>
    </row>
    <row r="75" spans="1:2" ht="16.5" x14ac:dyDescent="0.25">
      <c r="A75" s="118">
        <v>74</v>
      </c>
      <c r="B75" s="119"/>
    </row>
    <row r="76" spans="1:2" ht="16.5" x14ac:dyDescent="0.25">
      <c r="A76" s="118">
        <v>75</v>
      </c>
      <c r="B76" s="119"/>
    </row>
    <row r="77" spans="1:2" ht="16.5" x14ac:dyDescent="0.25">
      <c r="A77" s="118">
        <v>76</v>
      </c>
      <c r="B77" s="119"/>
    </row>
    <row r="78" spans="1:2" ht="16.5" x14ac:dyDescent="0.25">
      <c r="A78" s="118">
        <v>77</v>
      </c>
      <c r="B78" s="119"/>
    </row>
    <row r="79" spans="1:2" ht="16.5" x14ac:dyDescent="0.25">
      <c r="A79" s="118">
        <v>78</v>
      </c>
      <c r="B79" s="119"/>
    </row>
    <row r="80" spans="1:2" ht="16.5" x14ac:dyDescent="0.25">
      <c r="A80" s="118">
        <v>79</v>
      </c>
      <c r="B80" s="119"/>
    </row>
    <row r="81" spans="1:2" ht="16.5" x14ac:dyDescent="0.25">
      <c r="A81" s="118">
        <v>80</v>
      </c>
      <c r="B81" s="119"/>
    </row>
    <row r="82" spans="1:2" ht="16.5" x14ac:dyDescent="0.25">
      <c r="A82" s="118">
        <v>81</v>
      </c>
      <c r="B82" s="119"/>
    </row>
    <row r="83" spans="1:2" ht="16.5" x14ac:dyDescent="0.25">
      <c r="A83" s="118">
        <v>82</v>
      </c>
      <c r="B83" s="119"/>
    </row>
    <row r="84" spans="1:2" ht="16.5" x14ac:dyDescent="0.25">
      <c r="A84" s="118">
        <v>83</v>
      </c>
      <c r="B84" s="119"/>
    </row>
    <row r="85" spans="1:2" ht="16.5" x14ac:dyDescent="0.25">
      <c r="A85" s="118">
        <v>84</v>
      </c>
      <c r="B85" s="119"/>
    </row>
    <row r="86" spans="1:2" ht="16.5" x14ac:dyDescent="0.25">
      <c r="A86" s="118">
        <v>85</v>
      </c>
      <c r="B86" s="119"/>
    </row>
    <row r="87" spans="1:2" ht="16.5" x14ac:dyDescent="0.25">
      <c r="A87" s="118">
        <v>86</v>
      </c>
      <c r="B87" s="119"/>
    </row>
    <row r="88" spans="1:2" ht="16.5" x14ac:dyDescent="0.25">
      <c r="A88" s="118">
        <v>87</v>
      </c>
      <c r="B88" s="119"/>
    </row>
    <row r="89" spans="1:2" ht="16.5" x14ac:dyDescent="0.25">
      <c r="A89" s="118">
        <v>88</v>
      </c>
      <c r="B89" s="119"/>
    </row>
    <row r="90" spans="1:2" ht="16.5" x14ac:dyDescent="0.25">
      <c r="A90" s="118">
        <v>89</v>
      </c>
      <c r="B90" s="119"/>
    </row>
    <row r="91" spans="1:2" ht="16.5" x14ac:dyDescent="0.25">
      <c r="A91" s="118">
        <v>90</v>
      </c>
      <c r="B91" s="119"/>
    </row>
    <row r="92" spans="1:2" ht="16.5" x14ac:dyDescent="0.25">
      <c r="A92" s="118">
        <v>91</v>
      </c>
      <c r="B92" s="119"/>
    </row>
    <row r="93" spans="1:2" ht="16.5" x14ac:dyDescent="0.25">
      <c r="A93" s="118">
        <v>92</v>
      </c>
      <c r="B93" s="119"/>
    </row>
    <row r="94" spans="1:2" ht="16.5" x14ac:dyDescent="0.25">
      <c r="A94" s="118">
        <v>93</v>
      </c>
      <c r="B94" s="119"/>
    </row>
    <row r="95" spans="1:2" ht="16.5" x14ac:dyDescent="0.25">
      <c r="A95" s="118">
        <v>94</v>
      </c>
      <c r="B95" s="119"/>
    </row>
    <row r="96" spans="1:2" ht="16.5" x14ac:dyDescent="0.25">
      <c r="A96" s="118">
        <v>95</v>
      </c>
      <c r="B96" s="119"/>
    </row>
    <row r="97" spans="1:2" ht="16.5" x14ac:dyDescent="0.25">
      <c r="A97" s="118">
        <v>96</v>
      </c>
      <c r="B97" s="119"/>
    </row>
    <row r="98" spans="1:2" ht="16.5" x14ac:dyDescent="0.25">
      <c r="A98" s="118">
        <v>97</v>
      </c>
      <c r="B98" s="119"/>
    </row>
    <row r="99" spans="1:2" ht="16.5" x14ac:dyDescent="0.25">
      <c r="A99" s="118">
        <v>98</v>
      </c>
      <c r="B99" s="119"/>
    </row>
    <row r="100" spans="1:2" ht="16.5" x14ac:dyDescent="0.25">
      <c r="A100" s="118">
        <v>99</v>
      </c>
      <c r="B100" s="119"/>
    </row>
    <row r="101" spans="1:2" ht="16.5" x14ac:dyDescent="0.25">
      <c r="A101" s="118">
        <v>100</v>
      </c>
      <c r="B101" s="119"/>
    </row>
    <row r="102" spans="1:2" ht="16.5" x14ac:dyDescent="0.25">
      <c r="A102" s="118">
        <v>101</v>
      </c>
      <c r="B102" s="119"/>
    </row>
    <row r="103" spans="1:2" ht="16.5" x14ac:dyDescent="0.25">
      <c r="A103" s="118">
        <v>102</v>
      </c>
      <c r="B103" s="119"/>
    </row>
    <row r="104" spans="1:2" ht="16.5" x14ac:dyDescent="0.25">
      <c r="A104" s="118">
        <v>103</v>
      </c>
      <c r="B104" s="119"/>
    </row>
    <row r="105" spans="1:2" ht="16.5" x14ac:dyDescent="0.25">
      <c r="A105" s="118">
        <v>104</v>
      </c>
      <c r="B105" s="119"/>
    </row>
    <row r="106" spans="1:2" ht="16.5" x14ac:dyDescent="0.25">
      <c r="A106" s="118">
        <v>105</v>
      </c>
      <c r="B106" s="119"/>
    </row>
    <row r="107" spans="1:2" ht="16.5" x14ac:dyDescent="0.25">
      <c r="A107" s="118">
        <v>106</v>
      </c>
      <c r="B107" s="119"/>
    </row>
    <row r="108" spans="1:2" ht="16.5" x14ac:dyDescent="0.25">
      <c r="A108" s="118">
        <v>107</v>
      </c>
      <c r="B108" s="119"/>
    </row>
    <row r="109" spans="1:2" ht="16.5" x14ac:dyDescent="0.25">
      <c r="A109" s="118">
        <v>108</v>
      </c>
      <c r="B109" s="119"/>
    </row>
    <row r="110" spans="1:2" ht="16.5" x14ac:dyDescent="0.25">
      <c r="A110" s="118">
        <v>109</v>
      </c>
      <c r="B110" s="119"/>
    </row>
    <row r="111" spans="1:2" ht="16.5" x14ac:dyDescent="0.25">
      <c r="A111" s="118">
        <v>110</v>
      </c>
      <c r="B111" s="119"/>
    </row>
    <row r="112" spans="1:2" ht="16.5" x14ac:dyDescent="0.25">
      <c r="A112" s="118">
        <v>111</v>
      </c>
      <c r="B112" s="119"/>
    </row>
    <row r="113" spans="1:2" ht="16.5" x14ac:dyDescent="0.25">
      <c r="A113" s="118">
        <v>112</v>
      </c>
      <c r="B113" s="119"/>
    </row>
    <row r="114" spans="1:2" ht="16.5" x14ac:dyDescent="0.25">
      <c r="A114" s="118">
        <v>113</v>
      </c>
      <c r="B114" s="119"/>
    </row>
    <row r="115" spans="1:2" ht="16.5" x14ac:dyDescent="0.25">
      <c r="A115" s="118">
        <v>114</v>
      </c>
      <c r="B115" s="119"/>
    </row>
    <row r="116" spans="1:2" ht="16.5" x14ac:dyDescent="0.25">
      <c r="A116" s="118">
        <v>115</v>
      </c>
      <c r="B116" s="119"/>
    </row>
    <row r="117" spans="1:2" ht="16.5" x14ac:dyDescent="0.25">
      <c r="A117" s="118">
        <v>116</v>
      </c>
      <c r="B117" s="119"/>
    </row>
    <row r="118" spans="1:2" ht="16.5" x14ac:dyDescent="0.25">
      <c r="A118" s="118">
        <v>117</v>
      </c>
      <c r="B118" s="119"/>
    </row>
    <row r="119" spans="1:2" ht="16.5" x14ac:dyDescent="0.25">
      <c r="A119" s="118">
        <v>118</v>
      </c>
      <c r="B119" s="119"/>
    </row>
    <row r="120" spans="1:2" ht="16.5" x14ac:dyDescent="0.25">
      <c r="A120" s="118">
        <v>119</v>
      </c>
      <c r="B120" s="119"/>
    </row>
    <row r="121" spans="1:2" ht="16.5" x14ac:dyDescent="0.25">
      <c r="A121" s="118">
        <v>120</v>
      </c>
      <c r="B121" s="119"/>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1" r:id="rId3" name="Button 11">
              <controlPr defaultSize="0" print="0" autoFill="0" autoPict="0" macro="[0]!Entrada">
                <anchor moveWithCells="1" sizeWithCells="1">
                  <from>
                    <xdr:col>2</xdr:col>
                    <xdr:colOff>276225</xdr:colOff>
                    <xdr:row>0</xdr:row>
                    <xdr:rowOff>9525</xdr:rowOff>
                  </from>
                  <to>
                    <xdr:col>4</xdr:col>
                    <xdr:colOff>0</xdr:colOff>
                    <xdr:row>0</xdr:row>
                    <xdr:rowOff>523875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En caso de que el proyecto sea regional, indicar los municipios atendidos diferentes al municipio principal." xr:uid="{0F91B350-9967-4D93-BE58-59DC77D8AB69}">
          <x14:formula1>
            <xm:f>'Información municipios'!$E$3:$E$1124</xm:f>
          </x14:formula1>
          <xm:sqref>B2:B121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5AA1E-99C9-41C0-9D23-44EC3C1A9205}">
  <sheetPr codeName="Hoja4">
    <tabColor theme="3"/>
  </sheetPr>
  <dimension ref="A1:C586"/>
  <sheetViews>
    <sheetView view="pageBreakPreview" zoomScaleNormal="100" zoomScaleSheetLayoutView="100" zoomScalePageLayoutView="92" workbookViewId="0">
      <selection activeCell="A6" sqref="A6:C7"/>
    </sheetView>
  </sheetViews>
  <sheetFormatPr baseColWidth="10" defaultColWidth="11.42578125" defaultRowHeight="16.5" zeroHeight="1" x14ac:dyDescent="0.25"/>
  <cols>
    <col min="1" max="1" width="23.140625" style="84" customWidth="1"/>
    <col min="2" max="2" width="47.28515625" style="84" customWidth="1"/>
    <col min="3" max="3" width="31.42578125" style="84" customWidth="1"/>
    <col min="4" max="7" width="30" style="84" customWidth="1"/>
    <col min="8" max="13" width="28.5703125" style="84" customWidth="1"/>
    <col min="14" max="14" width="20.7109375" style="84" customWidth="1"/>
    <col min="15" max="42" width="11.42578125" style="84" customWidth="1"/>
    <col min="43" max="16384" width="11.42578125" style="84"/>
  </cols>
  <sheetData>
    <row r="1" spans="1:3" x14ac:dyDescent="0.25"/>
    <row r="2" spans="1:3" x14ac:dyDescent="0.25"/>
    <row r="3" spans="1:3" ht="30" customHeight="1" x14ac:dyDescent="0.25"/>
    <row r="4" spans="1:3" x14ac:dyDescent="0.25"/>
    <row r="5" spans="1:3" ht="57.75" customHeight="1" x14ac:dyDescent="0.25">
      <c r="A5" s="98"/>
      <c r="C5" s="99"/>
    </row>
    <row r="6" spans="1:3" ht="10.5" customHeight="1" x14ac:dyDescent="0.25">
      <c r="A6" s="254" t="s">
        <v>90</v>
      </c>
      <c r="B6" s="255"/>
      <c r="C6" s="256"/>
    </row>
    <row r="7" spans="1:3" ht="12.75" customHeight="1" x14ac:dyDescent="0.25">
      <c r="A7" s="254"/>
      <c r="B7" s="255"/>
      <c r="C7" s="256"/>
    </row>
    <row r="8" spans="1:3" x14ac:dyDescent="0.25">
      <c r="A8" s="98"/>
      <c r="C8" s="99"/>
    </row>
    <row r="9" spans="1:3" ht="10.5" customHeight="1" x14ac:dyDescent="0.25">
      <c r="A9" s="227" t="s">
        <v>91</v>
      </c>
      <c r="B9" s="228"/>
      <c r="C9" s="229"/>
    </row>
    <row r="10" spans="1:3" ht="12.75" customHeight="1" x14ac:dyDescent="0.25">
      <c r="A10" s="227"/>
      <c r="B10" s="228"/>
      <c r="C10" s="229"/>
    </row>
    <row r="11" spans="1:3" x14ac:dyDescent="0.25">
      <c r="A11" s="98"/>
      <c r="C11" s="99"/>
    </row>
    <row r="12" spans="1:3" ht="39.75" customHeight="1" x14ac:dyDescent="0.25">
      <c r="A12" s="232" t="s">
        <v>92</v>
      </c>
      <c r="B12" s="233"/>
      <c r="C12" s="234"/>
    </row>
    <row r="13" spans="1:3" ht="17.25" thickBot="1" x14ac:dyDescent="0.3">
      <c r="A13" s="98"/>
      <c r="C13" s="99"/>
    </row>
    <row r="14" spans="1:3" ht="17.25" thickBot="1" x14ac:dyDescent="0.3">
      <c r="A14" s="100" t="s">
        <v>93</v>
      </c>
      <c r="B14" s="134" t="s">
        <v>94</v>
      </c>
      <c r="C14" s="135" t="s">
        <v>95</v>
      </c>
    </row>
    <row r="15" spans="1:3" ht="33.75" thickBot="1" x14ac:dyDescent="0.3">
      <c r="A15" s="101" t="s">
        <v>96</v>
      </c>
      <c r="B15" s="136" t="s">
        <v>97</v>
      </c>
      <c r="C15" s="132" t="str">
        <f>IF('Datos de entrada'!$B$6=Listas!$E$2,"Regional","Local")</f>
        <v>Local</v>
      </c>
    </row>
    <row r="16" spans="1:3" ht="33.75" thickBot="1" x14ac:dyDescent="0.3">
      <c r="A16" s="101" t="s">
        <v>17</v>
      </c>
      <c r="B16" s="136" t="s">
        <v>98</v>
      </c>
      <c r="C16" s="133">
        <f>Cálculo!$B$124</f>
        <v>0</v>
      </c>
    </row>
    <row r="17" spans="1:3" ht="33.75" hidden="1" thickBot="1" x14ac:dyDescent="0.3">
      <c r="A17" s="101" t="s">
        <v>99</v>
      </c>
      <c r="B17" s="136" t="s">
        <v>100</v>
      </c>
      <c r="C17" s="133">
        <f>+Cálculo!B125</f>
        <v>0</v>
      </c>
    </row>
    <row r="18" spans="1:3" ht="99.75" thickBot="1" x14ac:dyDescent="0.3">
      <c r="A18" s="101" t="s">
        <v>101</v>
      </c>
      <c r="B18" s="136" t="s">
        <v>102</v>
      </c>
      <c r="C18" s="133">
        <f>Cálculo!$B$126</f>
        <v>0</v>
      </c>
    </row>
    <row r="19" spans="1:3" ht="66.75" thickBot="1" x14ac:dyDescent="0.3">
      <c r="A19" s="101" t="s">
        <v>103</v>
      </c>
      <c r="B19" s="136" t="s">
        <v>104</v>
      </c>
      <c r="C19" s="133">
        <f>+Cálculo!$B$127</f>
        <v>0</v>
      </c>
    </row>
    <row r="20" spans="1:3" ht="116.25" thickBot="1" x14ac:dyDescent="0.3">
      <c r="A20" s="101" t="s">
        <v>29</v>
      </c>
      <c r="B20" s="136" t="s">
        <v>105</v>
      </c>
      <c r="C20" s="133">
        <f>'Datos de entrada'!$B$15</f>
        <v>0</v>
      </c>
    </row>
    <row r="21" spans="1:3" x14ac:dyDescent="0.25">
      <c r="A21" s="98"/>
      <c r="C21" s="99"/>
    </row>
    <row r="22" spans="1:3" x14ac:dyDescent="0.25">
      <c r="A22" s="227" t="s">
        <v>106</v>
      </c>
      <c r="B22" s="228"/>
      <c r="C22" s="229"/>
    </row>
    <row r="23" spans="1:3" x14ac:dyDescent="0.25">
      <c r="A23" s="227"/>
      <c r="B23" s="228"/>
      <c r="C23" s="229"/>
    </row>
    <row r="24" spans="1:3" x14ac:dyDescent="0.25">
      <c r="A24" s="98"/>
      <c r="C24" s="99"/>
    </row>
    <row r="25" spans="1:3" ht="82.5" customHeight="1" x14ac:dyDescent="0.25">
      <c r="A25" s="217" t="s">
        <v>107</v>
      </c>
      <c r="B25" s="218"/>
      <c r="C25" s="219"/>
    </row>
    <row r="26" spans="1:3" ht="17.25" thickBot="1" x14ac:dyDescent="0.3">
      <c r="A26" s="98"/>
      <c r="C26" s="99"/>
    </row>
    <row r="27" spans="1:3" ht="17.25" thickBot="1" x14ac:dyDescent="0.3">
      <c r="A27" s="100" t="s">
        <v>108</v>
      </c>
      <c r="B27" s="230" t="s">
        <v>109</v>
      </c>
      <c r="C27" s="231"/>
    </row>
    <row r="28" spans="1:3" ht="17.25" thickBot="1" x14ac:dyDescent="0.3">
      <c r="A28" s="101">
        <v>1</v>
      </c>
      <c r="B28" s="207" t="s">
        <v>110</v>
      </c>
      <c r="C28" s="208"/>
    </row>
    <row r="29" spans="1:3" ht="17.25" thickBot="1" x14ac:dyDescent="0.3">
      <c r="A29" s="101">
        <v>2</v>
      </c>
      <c r="B29" s="207" t="s">
        <v>111</v>
      </c>
      <c r="C29" s="208"/>
    </row>
    <row r="30" spans="1:3" ht="17.25" thickBot="1" x14ac:dyDescent="0.3">
      <c r="A30" s="101">
        <v>3</v>
      </c>
      <c r="B30" s="207" t="s">
        <v>112</v>
      </c>
      <c r="C30" s="208"/>
    </row>
    <row r="31" spans="1:3" ht="17.25" thickBot="1" x14ac:dyDescent="0.3">
      <c r="A31" s="101">
        <v>4</v>
      </c>
      <c r="B31" s="207" t="s">
        <v>113</v>
      </c>
      <c r="C31" s="208"/>
    </row>
    <row r="32" spans="1:3" ht="17.25" thickBot="1" x14ac:dyDescent="0.3">
      <c r="A32" s="101">
        <v>5</v>
      </c>
      <c r="B32" s="207" t="s">
        <v>114</v>
      </c>
      <c r="C32" s="208"/>
    </row>
    <row r="33" spans="1:3" ht="17.25" thickBot="1" x14ac:dyDescent="0.3">
      <c r="A33" s="101">
        <v>6</v>
      </c>
      <c r="B33" s="207" t="s">
        <v>115</v>
      </c>
      <c r="C33" s="208"/>
    </row>
    <row r="34" spans="1:3" x14ac:dyDescent="0.25">
      <c r="A34" s="98"/>
      <c r="C34" s="99"/>
    </row>
    <row r="35" spans="1:3" ht="63.75" customHeight="1" x14ac:dyDescent="0.25">
      <c r="A35" s="217" t="str">
        <f>"El modelo utiliza la informacion suministrada en los aspectos de capacidad administrativa, capacidad técnica y capacidad económica para establecer el escenario del municipio principal. Así las cosas, el escenario en el que se encuentra " &amp;$C$20 &amp; " es el siguiente:"</f>
        <v>El modelo utiliza la informacion suministrada en los aspectos de capacidad administrativa, capacidad técnica y capacidad económica para establecer el escenario del municipio principal. Así las cosas, el escenario en el que se encuentra 0 es el siguiente:</v>
      </c>
      <c r="B35" s="218"/>
      <c r="C35" s="219"/>
    </row>
    <row r="36" spans="1:3" ht="17.25" thickBot="1" x14ac:dyDescent="0.3">
      <c r="A36" s="98"/>
      <c r="C36" s="99"/>
    </row>
    <row r="37" spans="1:3" ht="17.25" thickBot="1" x14ac:dyDescent="0.3">
      <c r="A37" s="237" t="s">
        <v>116</v>
      </c>
      <c r="B37" s="238"/>
      <c r="C37" s="127" t="s">
        <v>116</v>
      </c>
    </row>
    <row r="38" spans="1:3" x14ac:dyDescent="0.25">
      <c r="A38" s="239" t="s">
        <v>117</v>
      </c>
      <c r="B38" s="240"/>
      <c r="C38" s="108" t="str">
        <f>Cálculo!C134</f>
        <v/>
      </c>
    </row>
    <row r="39" spans="1:3" x14ac:dyDescent="0.25">
      <c r="A39" s="241" t="s">
        <v>39</v>
      </c>
      <c r="B39" s="242"/>
      <c r="C39" s="86" t="str">
        <f>Cálculo!C135</f>
        <v/>
      </c>
    </row>
    <row r="40" spans="1:3" x14ac:dyDescent="0.25">
      <c r="A40" s="243" t="s">
        <v>40</v>
      </c>
      <c r="B40" s="244"/>
      <c r="C40" s="86" t="str">
        <f>Cálculo!C136</f>
        <v/>
      </c>
    </row>
    <row r="41" spans="1:3" x14ac:dyDescent="0.25">
      <c r="A41" s="243" t="s">
        <v>45</v>
      </c>
      <c r="B41" s="244"/>
      <c r="C41" s="86" t="str">
        <f>Cálculo!C137</f>
        <v/>
      </c>
    </row>
    <row r="42" spans="1:3" x14ac:dyDescent="0.25">
      <c r="A42" s="243" t="s">
        <v>54</v>
      </c>
      <c r="B42" s="244"/>
      <c r="C42" s="86" t="str">
        <f>Cálculo!C138</f>
        <v/>
      </c>
    </row>
    <row r="43" spans="1:3" x14ac:dyDescent="0.25">
      <c r="A43" s="243" t="s">
        <v>64</v>
      </c>
      <c r="B43" s="244"/>
      <c r="C43" s="86" t="str">
        <f>Cálculo!C139</f>
        <v>Alta</v>
      </c>
    </row>
    <row r="44" spans="1:3" ht="17.25" thickBot="1" x14ac:dyDescent="0.3">
      <c r="A44" s="257" t="s">
        <v>118</v>
      </c>
      <c r="B44" s="258"/>
      <c r="C44" s="87" t="str">
        <f>Cálculo!C140</f>
        <v/>
      </c>
    </row>
    <row r="45" spans="1:3" x14ac:dyDescent="0.25">
      <c r="A45" s="235" t="s">
        <v>95</v>
      </c>
      <c r="B45" s="128" t="s">
        <v>108</v>
      </c>
      <c r="C45" s="129" t="str">
        <f>Cálculo!$B$142</f>
        <v/>
      </c>
    </row>
    <row r="46" spans="1:3" ht="17.25" thickBot="1" x14ac:dyDescent="0.3">
      <c r="A46" s="236"/>
      <c r="B46" s="130" t="s">
        <v>109</v>
      </c>
      <c r="C46" s="131" t="e">
        <f>VLOOKUP($C$45,$A$28:$C$33,2,FALSE)</f>
        <v>#N/A</v>
      </c>
    </row>
    <row r="47" spans="1:3" x14ac:dyDescent="0.25">
      <c r="A47" s="98"/>
      <c r="C47" s="99"/>
    </row>
    <row r="48" spans="1:3" x14ac:dyDescent="0.25">
      <c r="A48" s="98"/>
      <c r="C48" s="99"/>
    </row>
    <row r="49" spans="1:3" x14ac:dyDescent="0.25">
      <c r="A49" s="220" t="s">
        <v>119</v>
      </c>
      <c r="B49" s="221"/>
      <c r="C49" s="222"/>
    </row>
    <row r="50" spans="1:3" ht="25.5" customHeight="1" x14ac:dyDescent="0.25">
      <c r="A50" s="220"/>
      <c r="B50" s="221"/>
      <c r="C50" s="222"/>
    </row>
    <row r="51" spans="1:3" x14ac:dyDescent="0.25">
      <c r="A51" s="98"/>
      <c r="C51" s="99"/>
    </row>
    <row r="52" spans="1:3" ht="112.5" customHeight="1" x14ac:dyDescent="0.25">
      <c r="A52" s="223" t="str">
        <f>Cálculo!$B$145</f>
        <v>Dado el contexto del proyecto, no es recomendable desarrollar un sistema de tratamiento de residuos sólidos órganicos hasta que las condiciones administrativas, técnicas y económicas así lo ameriten.</v>
      </c>
      <c r="B52" s="224"/>
      <c r="C52" s="225"/>
    </row>
    <row r="53" spans="1:3" x14ac:dyDescent="0.25">
      <c r="A53" s="98"/>
      <c r="C53" s="99"/>
    </row>
    <row r="54" spans="1:3" x14ac:dyDescent="0.25">
      <c r="A54" s="98"/>
      <c r="C54" s="99"/>
    </row>
    <row r="55" spans="1:3" x14ac:dyDescent="0.25">
      <c r="A55" s="220" t="str">
        <f>IF(OR($C$45=1,$C$45=2,$C$45=3,'Datos de entrada'!$B$36=Ponderaciones!$G$49),"TECNOLOGÍAS DE TRATAMIENTO DE RESIDUOS SÓLIDOS ÓRGANICOS VIABLES A NIVEL DE PREFACTIBILIDAD. ",".")</f>
        <v>.</v>
      </c>
      <c r="B55" s="221"/>
      <c r="C55" s="222"/>
    </row>
    <row r="56" spans="1:3" x14ac:dyDescent="0.25">
      <c r="A56" s="220"/>
      <c r="B56" s="221"/>
      <c r="C56" s="222"/>
    </row>
    <row r="57" spans="1:3" x14ac:dyDescent="0.25">
      <c r="A57" s="98"/>
      <c r="C57" s="99"/>
    </row>
    <row r="58" spans="1:3" ht="117" customHeight="1" x14ac:dyDescent="0.25">
      <c r="A58" s="217" t="str">
        <f>IF(OR($C$45=1,$C$45=2,$C$45=3,'Datos de entrada'!$B$36=Ponderaciones!$G$49),IF('Datos de entrada'!B6="No","Para el tratamiento de residuos sólidos órganicos en "&amp;$C$20&amp;" las tecnologias que se recomiendan evaluar en la siguiente fase de factibilidad son:","En la siguiente fase de factibilidad  regional se recomienda la evaluación  de las siguientes tecnologías de tratamiento de residuos sólidos órganicos aplicado en los municipios: "&amp;$C$20&amp;IF(Cálculo!D3&gt;0,", "&amp;Cálculo!A3,"")&amp;IF(Cálculo!D4&gt;0,", "&amp;Cálculo!A3,"")&amp;IF(Cálculo!D5&gt;0,", "&amp;Cálculo!A5,"")&amp;IF(Cálculo!D6&gt;0,", "&amp;Cálculo!A6,"")&amp;IF(Cálculo!D7&gt;0,", "&amp;Cálculo!A7,"")&amp;IF(Cálculo!D8&gt;0,", "&amp;Cálculo!A8,"")&amp;IF(Cálculo!D9&gt;0,", "&amp;Cálculo!A9,"")&amp;IF(Cálculo!D10&gt;0,", "&amp;Cálculo!A10,"")&amp;IF(Cálculo!D11&gt;0,", "&amp;Cálculo!A11,"")&amp;IF(Cálculo!D12&gt;0,", "&amp;Cálculo!A12,"")&amp;IF(Cálculo!D13&gt;0,", "&amp;Cálculo!A13,"")&amp;IF(Cálculo!D14&gt;0,", "&amp;Cálculo!A14,"")&amp;IF(Cálculo!D15&gt;0,", "&amp;Cálculo!A15,"")&amp;IF(Cálculo!D16&gt;0,", "&amp;Cálculo!A16,"")&amp;IF(Cálculo!D17&gt;0,", "&amp;Cálculo!A17,"")&amp;IF(Cálculo!D18&gt;0,", "&amp;Cálculo!A18,"")&amp;IF(Cálculo!D19&gt;0,", "&amp;Cálculo!A19,"")&amp;IF(Cálculo!D20&gt;0,", "&amp;Cálculo!A20,"")&amp;IF(Cálculo!D21&gt;0,", "&amp;Cálculo!A21,"")&amp;IF(Cálculo!D22&gt;0,", "&amp;Cálculo!A22,"")&amp;IF(Cálculo!D23&gt;0,", "&amp;Cálculo!A23,"")&amp;IF(Cálculo!D24&gt;0,", "&amp;Cálculo!A24,"")&amp;IF(Cálculo!D25&gt;0,", "&amp;Cálculo!A25,"")&amp;IF(Cálculo!D26&gt;0,", "&amp;Cálculo!A26,"")&amp;IF(Cálculo!D27&gt;0,", "&amp;Cálculo!A27,"")&amp;IF(Cálculo!D28&gt;0,", "&amp;Cálculo!A28,"")&amp;IF(Cálculo!D29&gt;0,", "&amp;Cálculo!A29,"")&amp;IF(Cálculo!D30&gt;0,", "&amp;Cálculo!A30,"")))&amp;"."</f>
        <v>FALSO.</v>
      </c>
      <c r="B58" s="218"/>
      <c r="C58" s="219"/>
    </row>
    <row r="59" spans="1:3" ht="17.25" thickBot="1" x14ac:dyDescent="0.3">
      <c r="A59" s="98"/>
      <c r="C59" s="99"/>
    </row>
    <row r="60" spans="1:3" ht="17.25" thickBot="1" x14ac:dyDescent="0.3">
      <c r="A60" s="100" t="str">
        <f>IF(OR($C$45=1,$C$45=2,$C$45=3,'Datos de entrada'!$B$36=Ponderaciones!$G$49),"N°",".")</f>
        <v>.</v>
      </c>
      <c r="B60" s="230" t="str">
        <f>IF(OR($C$45=1,$C$45=2,$C$45=3,'Datos de entrada'!$B$36=Ponderaciones!$G$49),"Tecnología recomendada",".")</f>
        <v>.</v>
      </c>
      <c r="C60" s="231"/>
    </row>
    <row r="61" spans="1:3" ht="17.25" thickBot="1" x14ac:dyDescent="0.3">
      <c r="A61" s="101" t="str">
        <f>IF(OR($C$45=1,$C$45=2,$C$45=3,'Datos de entrada'!$B$36=Ponderaciones!$G$49),Cálculo!A168,".")</f>
        <v>.</v>
      </c>
      <c r="B61" s="207" t="str">
        <f>IF(OR($C$45=1,$C$45=2,$C$45=3,'Datos de entrada'!$B$36=Ponderaciones!$G$49),Cálculo!C168,".")</f>
        <v>.</v>
      </c>
      <c r="C61" s="208"/>
    </row>
    <row r="62" spans="1:3" ht="17.25" thickBot="1" x14ac:dyDescent="0.3">
      <c r="A62" s="101" t="str">
        <f>IF(OR($C$45=1,$C$45=2,$C$45=3,'Datos de entrada'!$B$36=Ponderaciones!$G$49),Cálculo!A169,".")</f>
        <v>.</v>
      </c>
      <c r="B62" s="207" t="str">
        <f>IF(OR($C$45=1,$C$45=2,$C$45=3,'Datos de entrada'!$B$36=Ponderaciones!$G$49),Cálculo!C169,".")</f>
        <v>.</v>
      </c>
      <c r="C62" s="208"/>
    </row>
    <row r="63" spans="1:3" ht="17.25" thickBot="1" x14ac:dyDescent="0.3">
      <c r="A63" s="101" t="str">
        <f>IF(OR($C$45=1,$C$45=2,$C$45=3,'Datos de entrada'!$B$36=Ponderaciones!$G$49),Cálculo!A170,".")</f>
        <v>.</v>
      </c>
      <c r="B63" s="207" t="str">
        <f>IF(OR($C$45=1,$C$45=2,$C$45=3,'Datos de entrada'!$B$36=Ponderaciones!$G$49),Cálculo!C170,".")</f>
        <v>.</v>
      </c>
      <c r="C63" s="208"/>
    </row>
    <row r="64" spans="1:3" x14ac:dyDescent="0.25">
      <c r="A64" s="102"/>
      <c r="C64" s="99"/>
    </row>
    <row r="65" spans="1:3" ht="55.5" customHeight="1" x14ac:dyDescent="0.25">
      <c r="A65" s="217" t="str">
        <f>IF(OR($C$45=1,$C$45=2,$C$45=3,'Datos de entrada'!$B$36=Ponderaciones!$G$49),"Así mismo, se presenta una estimación de los costos de inversión y operación en los que incurre cada tecnología. ",".")</f>
        <v>.</v>
      </c>
      <c r="B65" s="218"/>
      <c r="C65" s="219"/>
    </row>
    <row r="66" spans="1:3" ht="55.5" customHeight="1" x14ac:dyDescent="0.25">
      <c r="A66" s="217" t="str">
        <f>IF(OR($C$45=1,$C$45=2,$C$45=3,'Datos de entrada'!$B$36=Ponderaciones!$G$49),"Es importante destacar que los costos de inversión y operación no incluyen los relacionados con el terreno para la costrucción de la planta.",".")</f>
        <v>.</v>
      </c>
      <c r="B66" s="218"/>
      <c r="C66" s="219"/>
    </row>
    <row r="67" spans="1:3" ht="17.25" thickBot="1" x14ac:dyDescent="0.3">
      <c r="A67" s="98"/>
      <c r="C67" s="99"/>
    </row>
    <row r="68" spans="1:3" ht="17.25" thickBot="1" x14ac:dyDescent="0.3">
      <c r="A68" s="103" t="str">
        <f>IF(OR($C$45=1,$C$45=2,$C$45=3,'Datos de entrada'!$B$36=Ponderaciones!$G$49),"Tecnología 1",".")</f>
        <v>.</v>
      </c>
      <c r="B68" s="209" t="str">
        <f>IF(OR($C$45=1,$C$45=2,$C$45=3,'Datos de entrada'!$B$36=Ponderaciones!$G$49),$B$61,".")</f>
        <v>.</v>
      </c>
      <c r="C68" s="210"/>
    </row>
    <row r="69" spans="1:3" ht="17.25" thickBot="1" x14ac:dyDescent="0.3">
      <c r="A69" s="98"/>
      <c r="C69" s="99"/>
    </row>
    <row r="70" spans="1:3" ht="17.25" thickBot="1" x14ac:dyDescent="0.3">
      <c r="A70" s="100" t="str">
        <f>IF(OR($C$45=1,$C$45=2,$C$45=3,'Datos de entrada'!$B$36=Ponderaciones!$G$49),"Variable",".")</f>
        <v>.</v>
      </c>
      <c r="B70" s="226" t="str">
        <f>IF(OR($C$45=1,$C$45=2,$C$45=3,'Datos de entrada'!$B$36=Ponderaciones!$G$49),"Descripción",".")</f>
        <v>.</v>
      </c>
      <c r="C70" s="206"/>
    </row>
    <row r="71" spans="1:3" ht="114" customHeight="1" thickBot="1" x14ac:dyDescent="0.3">
      <c r="A71" s="190" t="str">
        <f>IF(OR($C$45=1,$C$45=2,$C$45=3,'Datos de entrada'!$B$36=Ponderaciones!$G$49),'Interpretación de Resultados'!A2,".")</f>
        <v>.</v>
      </c>
      <c r="B71" s="207" t="str">
        <f>IF(OR($C$45=1,$C$45=2,$C$45=3,'Datos de entrada'!$B$36=Ponderaciones!$G$49),VLOOKUP(B68,'Fichas técnicas Tecnologías'!$A$3:$K$10,2,FALSE),".")</f>
        <v>.</v>
      </c>
      <c r="C71" s="208"/>
    </row>
    <row r="72" spans="1:3" ht="31.5" customHeight="1" thickBot="1" x14ac:dyDescent="0.3">
      <c r="A72" s="190" t="str">
        <f>IF(OR($C$45=1,$C$45=2,$C$45=3,'Datos de entrada'!$B$36=Ponderaciones!$G$49),'Interpretación de Resultados'!A3,".")</f>
        <v>.</v>
      </c>
      <c r="B72" s="207" t="str">
        <f>IF(OR($C$45=1,$C$45=2,$C$45=3,'Datos de entrada'!$B$36=Ponderaciones!$G$49),VLOOKUP(B68,'Fichas técnicas Tecnologías'!$A$3:$K$10,9,FALSE),".")</f>
        <v>.</v>
      </c>
      <c r="C72" s="208"/>
    </row>
    <row r="73" spans="1:3" ht="41.25" customHeight="1" thickBot="1" x14ac:dyDescent="0.3">
      <c r="A73" s="190" t="str">
        <f>IF(OR($C$45=1,$C$45=2,$C$45=3,'Datos de entrada'!$B$36=Ponderaciones!$G$49),'Interpretación de Resultados'!A4,".")</f>
        <v>.</v>
      </c>
      <c r="B73" s="207" t="str">
        <f>IF(OR($C$45=1,$C$45=2,$C$45=3,'Datos de entrada'!$B$36=Ponderaciones!$G$49),VLOOKUP(B68,'Fichas técnicas Tecnologías'!$A$3:$K$10,3,FALSE),".")</f>
        <v>.</v>
      </c>
      <c r="C73" s="208"/>
    </row>
    <row r="74" spans="1:3" ht="108.75" customHeight="1" thickBot="1" x14ac:dyDescent="0.3">
      <c r="A74" s="122" t="str">
        <f>IF(OR($C$45=1,$C$45=2,$C$45=3,'Datos de entrada'!$B$36=Ponderaciones!$G$49), "Considerar",".")</f>
        <v>.</v>
      </c>
      <c r="B74" s="215" t="str">
        <f>IF(OR($C$45=1,$C$45=2,$C$45=3,'Datos de entrada'!$B$36=Ponderaciones!$G$49),VLOOKUP(B68,'Fichas técnicas Tecnologías'!$A$3:$K$10,4,FALSE),".")</f>
        <v>.</v>
      </c>
      <c r="C74" s="216"/>
    </row>
    <row r="75" spans="1:3" ht="39.75" customHeight="1" thickBot="1" x14ac:dyDescent="0.3">
      <c r="A75" s="190" t="str">
        <f>IF(OR($C$45=1,$C$45=2,$C$45=3,'Datos de entrada'!$B$36=Ponderaciones!$G$49),'Interpretación de Resultados'!A5,".")</f>
        <v>.</v>
      </c>
      <c r="B75" s="207" t="str">
        <f>IF(OR($C$45=1,$C$45=2,$C$45=3,'Datos de entrada'!$B$36=Ponderaciones!$G$49),VLOOKUP(B68,'Fichas técnicas Tecnologías'!$A$3:$K$10,5,FALSE),".")</f>
        <v>.</v>
      </c>
      <c r="C75" s="208"/>
    </row>
    <row r="76" spans="1:3" ht="153.75" customHeight="1" thickBot="1" x14ac:dyDescent="0.3">
      <c r="A76" s="122" t="str">
        <f>IF(OR($C$45=1,$C$45=2,$C$45=3,'Datos de entrada'!$B$36=Ponderaciones!$G$49), "Considerar",".")</f>
        <v>.</v>
      </c>
      <c r="B76" s="215" t="str">
        <f>IF(OR($C$45=1,$C$45=2,$C$45=3,'Datos de entrada'!$B$36=Ponderaciones!$G$49),VLOOKUP(B68,'Fichas técnicas Tecnologías'!$A$3:$K$10,6,FALSE),".")</f>
        <v>.</v>
      </c>
      <c r="C76" s="216"/>
    </row>
    <row r="77" spans="1:3" ht="39.75" customHeight="1" thickBot="1" x14ac:dyDescent="0.3">
      <c r="A77" s="190" t="str">
        <f>IF(OR($C$45=1,$C$45=2,$C$45=3,'Datos de entrada'!$B$36=Ponderaciones!$G$49),'Interpretación de Resultados'!A6,".")</f>
        <v>.</v>
      </c>
      <c r="B77" s="207" t="str">
        <f>IF(OR($C$45=1,$C$45=2,$C$45=3,'Datos de entrada'!$B$36=Ponderaciones!$G$49),VLOOKUP(B68,'Fichas técnicas Tecnologías'!$A$3:$K$10,7,FALSE),".")</f>
        <v>.</v>
      </c>
      <c r="C77" s="208"/>
    </row>
    <row r="78" spans="1:3" ht="97.5" customHeight="1" thickBot="1" x14ac:dyDescent="0.3">
      <c r="A78" s="122" t="str">
        <f>IF(OR($C$45=1,$C$45=2,$C$45=3,'Datos de entrada'!$B$36=Ponderaciones!$G$49), "Considerar",".")</f>
        <v>.</v>
      </c>
      <c r="B78" s="215" t="str">
        <f>IF(OR($C$45=1,$C$45=2,$C$45=3,'Datos de entrada'!$B$36=Ponderaciones!$G$49),VLOOKUP(B68,'Fichas técnicas Tecnologías'!$A$3:$K$10,8,FALSE),".")</f>
        <v>.</v>
      </c>
      <c r="C78" s="216"/>
    </row>
    <row r="79" spans="1:3" ht="47.25" customHeight="1" thickBot="1" x14ac:dyDescent="0.3">
      <c r="A79" s="190" t="str">
        <f>IF(OR($C$45=1,$C$45=2,$C$45=3,'Datos de entrada'!$B$36=Ponderaciones!$G$49),'Interpretación de Resultados'!A7,".")</f>
        <v>.</v>
      </c>
      <c r="B79" s="207" t="str">
        <f>IF(OR($C$45=1,$C$45=2,$C$45=3,'Datos de entrada'!$B$36=Ponderaciones!$G$49),VLOOKUP(B68,'Fichas técnicas Tecnologías'!$A$3:$K$10,11,FALSE),".")</f>
        <v>.</v>
      </c>
      <c r="C79" s="208"/>
    </row>
    <row r="80" spans="1:3" ht="235.5" customHeight="1" thickBot="1" x14ac:dyDescent="0.3">
      <c r="A80" s="122" t="str">
        <f>IF(OR($C$45=1,$C$45=2,$C$45=3,'Datos de entrada'!$B$36=Ponderaciones!$G$49), "Considerar",".")</f>
        <v>.</v>
      </c>
      <c r="B80" s="207" t="str">
        <f>IF(OR($C$45=1,$C$45=2,$C$45=3,'Datos de entrada'!$B$36=Ponderaciones!$G$49),VLOOKUP(B68,'Fichas técnicas Tecnologías'!$A$3:$N$10,12,FALSE)&amp;VLOOKUP(B68,'Fichas técnicas Tecnologías'!$A$3:$W$10,20,FALSE),".")</f>
        <v>.</v>
      </c>
      <c r="C80" s="208"/>
    </row>
    <row r="81" spans="1:3" ht="35.25" customHeight="1" thickBot="1" x14ac:dyDescent="0.3">
      <c r="A81" s="190" t="str">
        <f>IF(OR($C$45=1,$C$45=2,$C$45=3,'Datos de entrada'!$B$36=Ponderaciones!$G$49),'Interpretación de Resultados'!A8,".")</f>
        <v>.</v>
      </c>
      <c r="B81" s="211" t="str">
        <f>IF(OR($C$45=1,$C$45=2,$C$45=3,'Datos de entrada'!$B$36=Ponderaciones!$G$49),VLOOKUP(1,Cálculo!$B$156:$U$160,15,FALSE),".")</f>
        <v>.</v>
      </c>
      <c r="C81" s="212"/>
    </row>
    <row r="82" spans="1:3" ht="50.25" customHeight="1" thickBot="1" x14ac:dyDescent="0.3">
      <c r="A82" s="122" t="str">
        <f>IF(OR($C$45=1,$C$45=2,$C$45=3,'Datos de entrada'!$B$36=Ponderaciones!$G$49), "Considerar",".")</f>
        <v>.</v>
      </c>
      <c r="B82" s="207" t="str">
        <f>IF(OR($C$45=1,$C$45=2,$C$45=3,'Datos de entrada'!$B$36=Ponderaciones!$G$49),"La desviación de residuos se estima teniendo en cuenta la capacidad de la planta.",".")</f>
        <v>.</v>
      </c>
      <c r="C82" s="208"/>
    </row>
    <row r="83" spans="1:3" ht="81.75" customHeight="1" thickBot="1" x14ac:dyDescent="0.3">
      <c r="A83" s="190" t="str">
        <f>IF(OR($C$45=1,$C$45=2,$C$45=3,'Datos de entrada'!$B$36=Ponderaciones!$G$49),'Interpretación de Resultados'!A9,".")</f>
        <v>.</v>
      </c>
      <c r="B83" s="213" t="str">
        <f>IF(OR($C$45=1,$C$45=2,$C$45=3,'Datos de entrada'!$B$36=Ponderaciones!$G$49),VLOOKUP(1,Cálculo!$B$156:$U$160,19,FALSE),".")</f>
        <v>.</v>
      </c>
      <c r="C83" s="214"/>
    </row>
    <row r="84" spans="1:3" ht="174" customHeight="1" thickBot="1" x14ac:dyDescent="0.3">
      <c r="A84" s="122" t="str">
        <f>IF(OR($C$45=1,$C$45=2,$C$45=3,'Datos de entrada'!$B$36=Ponderaciones!$G$49), "Considerar",".")</f>
        <v>.</v>
      </c>
      <c r="B84" s="207" t="str">
        <f>IF(OR($C$45=1,$C$45=2,$C$45=3,'Datos de entrada'!$B$36=Ponderaciones!$G$49),IF('Datos de entrada'!$B$43=Ponderaciones!$D$77,_xlfn.CONCAT("Se recomienda implementar un sistema de extracción y aprovechamiento del biogás en el sitio de disposición final, ","para tratar los Gases de Efecto Invernadero generados por la descomposición de la materia orgánica de los residuos allí dispuestos.",VLOOKUP(B68,'Fichas técnicas Tecnologías'!A:M,13,0)),IF('Datos de entrada'!$B$43=Ponderaciones!$D$78,_xlfn.CONCAT("Se recomienda implementar un sistema de aprovechamiento del biogás en el sitio de disposición final, ","para tratar los Gases de Efecto Invernadero generados por la descomposición de la materia orgánica de los residuos allí dispuestos.",VLOOKUP(B68,'Fichas técnicas Tecnologías'!A:M,13,0)),"El sistema de extracción y aprovechamiento de biogás instalado en el relleno sanitario permite la reducción de Gases de Efecto Invernadero generados por la descomposición de materia orgánica de los residuos allí dispuestos."&amp;VLOOKUP(B68,'Fichas técnicas Tecnologías'!A:M,13,0))),".")</f>
        <v>.</v>
      </c>
      <c r="C84" s="208"/>
    </row>
    <row r="85" spans="1:3" x14ac:dyDescent="0.25">
      <c r="A85" s="98"/>
      <c r="C85" s="99"/>
    </row>
    <row r="86" spans="1:3" x14ac:dyDescent="0.25">
      <c r="A86" s="204" t="str">
        <f>IF(OR($C$45=1,$C$45=2,$C$45=3,'Datos de entrada'!$B$36=Ponderaciones!$G$49),"Costos de inversión",".")</f>
        <v>.</v>
      </c>
      <c r="B86" s="205"/>
      <c r="C86" s="206"/>
    </row>
    <row r="87" spans="1:3" ht="17.25" thickBot="1" x14ac:dyDescent="0.3">
      <c r="A87" s="98"/>
      <c r="C87" s="99"/>
    </row>
    <row r="88" spans="1:3" ht="26.25" customHeight="1" thickBot="1" x14ac:dyDescent="0.3">
      <c r="A88" s="202" t="str">
        <f>IF(OR($C$45=1,$C$45=2,$C$45=3,'Datos de entrada'!$B$36=Ponderaciones!$G$49),IF(Cálculo!A201&lt;&gt;0,Cálculo!A201,""),".")</f>
        <v>.</v>
      </c>
      <c r="B88" s="203"/>
      <c r="C88" s="104" t="str">
        <f>IF(OR($C$45=1,$C$45=2,$C$45=3,'Datos de entrada'!$B$36=Ponderaciones!$G$49),IF(Cálculo!B201&lt;&gt;0,Cálculo!B201,""),".")</f>
        <v>.</v>
      </c>
    </row>
    <row r="89" spans="1:3" ht="26.25" customHeight="1" thickBot="1" x14ac:dyDescent="0.3">
      <c r="A89" s="202" t="str">
        <f>IF(OR($C$45=1,$C$45=2,$C$45=3,'Datos de entrada'!$B$36=Ponderaciones!$G$49),IF(Cálculo!A202&lt;&gt;0,Cálculo!A202,""),".")</f>
        <v>.</v>
      </c>
      <c r="B89" s="203"/>
      <c r="C89" s="104" t="str">
        <f>IF(OR($C$45=1,$C$45=2,$C$45=3,'Datos de entrada'!$B$36=Ponderaciones!$G$49),IF(Cálculo!B202&lt;&gt;0,Cálculo!B202,""),".")</f>
        <v>.</v>
      </c>
    </row>
    <row r="90" spans="1:3" ht="26.25" customHeight="1" thickBot="1" x14ac:dyDescent="0.3">
      <c r="A90" s="202" t="str">
        <f>IF(OR($C$45=1,$C$45=2,$C$45=3,'Datos de entrada'!$B$36=Ponderaciones!$G$49),IF(Cálculo!A203&lt;&gt;0,Cálculo!A203,""),".")</f>
        <v>.</v>
      </c>
      <c r="B90" s="203"/>
      <c r="C90" s="104" t="str">
        <f>IF(OR($C$45=1,$C$45=2,$C$45=3,'Datos de entrada'!$B$36=Ponderaciones!$G$49),IF(Cálculo!B203&lt;&gt;0,Cálculo!B203,""),".")</f>
        <v>.</v>
      </c>
    </row>
    <row r="91" spans="1:3" ht="26.25" customHeight="1" thickBot="1" x14ac:dyDescent="0.3">
      <c r="A91" s="202" t="str">
        <f>IF(OR($C$45=1,$C$45=2,$C$45=3,'Datos de entrada'!$B$36=Ponderaciones!$G$49),IF(Cálculo!A204&lt;&gt;0,Cálculo!A204,""),".")</f>
        <v>.</v>
      </c>
      <c r="B91" s="203"/>
      <c r="C91" s="104" t="str">
        <f>IF(OR($C$45=1,$C$45=2,$C$45=3,'Datos de entrada'!$B$36=Ponderaciones!$G$49),IF(Cálculo!B204&lt;&gt;0,Cálculo!B204,""),".")</f>
        <v>.</v>
      </c>
    </row>
    <row r="92" spans="1:3" ht="26.25" customHeight="1" thickBot="1" x14ac:dyDescent="0.3">
      <c r="A92" s="202" t="str">
        <f>IF(OR($C$45=1,$C$45=2,$C$45=3,'Datos de entrada'!$B$36=Ponderaciones!$G$49),IF(Cálculo!A205&lt;&gt;0,Cálculo!A205,""),".")</f>
        <v>.</v>
      </c>
      <c r="B92" s="203"/>
      <c r="C92" s="104" t="str">
        <f>IF(OR($C$45=1,$C$45=2,$C$45=3,'Datos de entrada'!$B$36=Ponderaciones!$G$49),IF(Cálculo!B205&lt;&gt;0,Cálculo!B205,""),".")</f>
        <v>.</v>
      </c>
    </row>
    <row r="93" spans="1:3" ht="26.25" customHeight="1" thickBot="1" x14ac:dyDescent="0.3">
      <c r="A93" s="202" t="str">
        <f>IF(OR($C$45=1,$C$45=2,$C$45=3,'Datos de entrada'!$B$36=Ponderaciones!$G$49),IF(Cálculo!A206&lt;&gt;0,Cálculo!A206,""),".")</f>
        <v>.</v>
      </c>
      <c r="B93" s="203"/>
      <c r="C93" s="104" t="str">
        <f>IF(OR($C$45=1,$C$45=2,$C$45=3,'Datos de entrada'!$B$36=Ponderaciones!$G$49),IF(Cálculo!B206&lt;&gt;0,Cálculo!B206,""),".")</f>
        <v>.</v>
      </c>
    </row>
    <row r="94" spans="1:3" ht="26.25" customHeight="1" thickBot="1" x14ac:dyDescent="0.3">
      <c r="A94" s="202" t="str">
        <f>IF(OR($C$45=1,$C$45=2,$C$45=3,'Datos de entrada'!$B$36=Ponderaciones!$G$49),IF(Cálculo!A207&lt;&gt;0,Cálculo!A207,""),".")</f>
        <v>.</v>
      </c>
      <c r="B94" s="203"/>
      <c r="C94" s="104" t="str">
        <f>IF(OR($C$45=1,$C$45=2,$C$45=3,'Datos de entrada'!$B$36=Ponderaciones!$G$49),IF(Cálculo!B207&lt;&gt;0,Cálculo!B207,""),".")</f>
        <v>.</v>
      </c>
    </row>
    <row r="95" spans="1:3" ht="26.25" customHeight="1" thickBot="1" x14ac:dyDescent="0.3">
      <c r="A95" s="202" t="str">
        <f>IF(OR($C$45=1,$C$45=2,$C$45=3,'Datos de entrada'!$B$36=Ponderaciones!$G$49),IF(Cálculo!A208&lt;&gt;0,Cálculo!A208,""),".")</f>
        <v>.</v>
      </c>
      <c r="B95" s="203"/>
      <c r="C95" s="104" t="str">
        <f>IF(OR($C$45=1,$C$45=2,$C$45=3,'Datos de entrada'!$B$36=Ponderaciones!$G$49),IF(Cálculo!B208&lt;&gt;0,Cálculo!B208,""),".")</f>
        <v>.</v>
      </c>
    </row>
    <row r="96" spans="1:3" ht="26.25" customHeight="1" thickBot="1" x14ac:dyDescent="0.3">
      <c r="A96" s="202" t="str">
        <f>IF(OR($C$45=1,$C$45=2,$C$45=3,'Datos de entrada'!$B$36=Ponderaciones!$G$49),IF(Cálculo!A209&lt;&gt;0,Cálculo!A209,""),".")</f>
        <v>.</v>
      </c>
      <c r="B96" s="203"/>
      <c r="C96" s="104" t="str">
        <f>IF(OR($C$45=1,$C$45=2,$C$45=3,'Datos de entrada'!$B$36=Ponderaciones!$G$49),IF(Cálculo!B209&lt;&gt;0,Cálculo!B209,""),".")</f>
        <v>.</v>
      </c>
    </row>
    <row r="97" spans="1:3" ht="26.25" customHeight="1" thickBot="1" x14ac:dyDescent="0.3">
      <c r="A97" s="202" t="str">
        <f>IF(OR($C$45=1,$C$45=2,$C$45=3,'Datos de entrada'!$B$36=Ponderaciones!$G$49),IF(Cálculo!A210&lt;&gt;0,Cálculo!A210,""),".")</f>
        <v>.</v>
      </c>
      <c r="B97" s="203"/>
      <c r="C97" s="104" t="str">
        <f>IF(OR($C$45=1,$C$45=2,$C$45=3,'Datos de entrada'!$B$36=Ponderaciones!$G$49),IF(Cálculo!B210&lt;&gt;0,Cálculo!B210,""),".")</f>
        <v>.</v>
      </c>
    </row>
    <row r="98" spans="1:3" ht="26.25" customHeight="1" thickBot="1" x14ac:dyDescent="0.3">
      <c r="A98" s="202" t="str">
        <f>IF(OR($C$45=1,$C$45=2,$C$45=3,'Datos de entrada'!$B$36=Ponderaciones!$G$49),IF(Cálculo!A211&lt;&gt;0,Cálculo!A211,""),".")</f>
        <v>.</v>
      </c>
      <c r="B98" s="203"/>
      <c r="C98" s="104" t="str">
        <f>IF(OR($C$45=1,$C$45=2,$C$45=3,'Datos de entrada'!$B$36=Ponderaciones!$G$49),IF(Cálculo!B211&lt;&gt;0,Cálculo!B211,""),".")</f>
        <v>.</v>
      </c>
    </row>
    <row r="99" spans="1:3" ht="26.25" customHeight="1" thickBot="1" x14ac:dyDescent="0.3">
      <c r="A99" s="202" t="str">
        <f>IF(OR($C$45=1,$C$45=2,$C$45=3,'Datos de entrada'!$B$36=Ponderaciones!$G$49),IF(Cálculo!A212&lt;&gt;0,Cálculo!A212,""),".")</f>
        <v>.</v>
      </c>
      <c r="B99" s="203"/>
      <c r="C99" s="104" t="str">
        <f>IF(OR($C$45=1,$C$45=2,$C$45=3,'Datos de entrada'!$B$36=Ponderaciones!$G$49),IF(Cálculo!B212&lt;&gt;0,Cálculo!B212,""),".")</f>
        <v>.</v>
      </c>
    </row>
    <row r="100" spans="1:3" ht="26.25" customHeight="1" thickBot="1" x14ac:dyDescent="0.3">
      <c r="A100" s="202" t="str">
        <f>IF(OR($C$45=1,$C$45=2,$C$45=3,'Datos de entrada'!$B$36=Ponderaciones!$G$49),IF(Cálculo!A213&lt;&gt;0,Cálculo!A213,""),".")</f>
        <v>.</v>
      </c>
      <c r="B100" s="203"/>
      <c r="C100" s="104" t="str">
        <f>IF(OR($C$45=1,$C$45=2,$C$45=3,'Datos de entrada'!$B$36=Ponderaciones!$G$49),IF(Cálculo!B213&lt;&gt;0,Cálculo!B213,""),".")</f>
        <v>.</v>
      </c>
    </row>
    <row r="101" spans="1:3" ht="26.25" customHeight="1" thickBot="1" x14ac:dyDescent="0.3">
      <c r="A101" s="202" t="str">
        <f>IF(OR($C$45=1,$C$45=2,$C$45=3,'Datos de entrada'!$B$36=Ponderaciones!$G$49),IF(Cálculo!A214&lt;&gt;0,Cálculo!A214,""),".")</f>
        <v>.</v>
      </c>
      <c r="B101" s="203"/>
      <c r="C101" s="104" t="str">
        <f>IF(OR($C$45=1,$C$45=2,$C$45=3,'Datos de entrada'!$B$36=Ponderaciones!$G$49),IF(Cálculo!B214&lt;&gt;0,Cálculo!B214,""),".")</f>
        <v>.</v>
      </c>
    </row>
    <row r="102" spans="1:3" ht="26.25" customHeight="1" thickBot="1" x14ac:dyDescent="0.3">
      <c r="A102" s="202" t="str">
        <f>IF(OR($C$45=1,$C$45=2,$C$45=3,'Datos de entrada'!$B$36=Ponderaciones!$G$49),IF(Cálculo!A215&lt;&gt;0,Cálculo!A215,""),".")</f>
        <v>.</v>
      </c>
      <c r="B102" s="203"/>
      <c r="C102" s="104" t="str">
        <f>IF(OR($C$45=1,$C$45=2,$C$45=3,'Datos de entrada'!$B$36=Ponderaciones!$G$49),IF(Cálculo!B215&lt;&gt;0,Cálculo!B215,""),".")</f>
        <v>.</v>
      </c>
    </row>
    <row r="103" spans="1:3" ht="26.25" customHeight="1" thickBot="1" x14ac:dyDescent="0.3">
      <c r="A103" s="202" t="str">
        <f>IF(OR($C$45=1,$C$45=2,$C$45=3,'Datos de entrada'!$B$36=Ponderaciones!$G$49),IF(Cálculo!A216&lt;&gt;0,Cálculo!A216,""),".")</f>
        <v>.</v>
      </c>
      <c r="B103" s="203"/>
      <c r="C103" s="104" t="str">
        <f>IF(OR($C$45=1,$C$45=2,$C$45=3,'Datos de entrada'!$B$36=Ponderaciones!$G$49),IF(Cálculo!B216&lt;&gt;0,Cálculo!B216,""),".")</f>
        <v>.</v>
      </c>
    </row>
    <row r="104" spans="1:3" ht="26.25" customHeight="1" thickBot="1" x14ac:dyDescent="0.3">
      <c r="A104" s="202" t="str">
        <f>IF(OR($C$45=1,$C$45=2,$C$45=3,'Datos de entrada'!$B$36=Ponderaciones!$G$49),IF(Cálculo!A217&lt;&gt;0,Cálculo!A217,""),".")</f>
        <v>.</v>
      </c>
      <c r="B104" s="203"/>
      <c r="C104" s="104" t="str">
        <f>IF(OR($C$45=1,$C$45=2,$C$45=3,'Datos de entrada'!$B$36=Ponderaciones!$G$49),IF(Cálculo!B217&lt;&gt;0,Cálculo!B217,""),".")</f>
        <v>.</v>
      </c>
    </row>
    <row r="105" spans="1:3" hidden="1" x14ac:dyDescent="0.25">
      <c r="A105" s="98"/>
      <c r="C105" s="99"/>
    </row>
    <row r="106" spans="1:3" hidden="1" x14ac:dyDescent="0.25">
      <c r="A106" s="98"/>
      <c r="C106" s="99"/>
    </row>
    <row r="107" spans="1:3" x14ac:dyDescent="0.25">
      <c r="A107" s="98"/>
      <c r="C107" s="99"/>
    </row>
    <row r="108" spans="1:3" x14ac:dyDescent="0.25">
      <c r="A108" s="204" t="str">
        <f>IF(OR($C$45=1,$C$45=2,$C$45=3,'Datos de entrada'!$B$36=Ponderaciones!$G$49),"Costos de operación",".")</f>
        <v>.</v>
      </c>
      <c r="B108" s="205"/>
      <c r="C108" s="206"/>
    </row>
    <row r="109" spans="1:3" ht="17.25" thickBot="1" x14ac:dyDescent="0.3">
      <c r="A109" s="98"/>
      <c r="C109" s="99"/>
    </row>
    <row r="110" spans="1:3" ht="27.75" customHeight="1" thickBot="1" x14ac:dyDescent="0.3">
      <c r="A110" s="202" t="str">
        <f>IF(OR($C$45=1,$C$45=2,$C$45=3,'Datos de entrada'!$B$36=Ponderaciones!$G$49),IF(Cálculo!D201&lt;&gt;0,Cálculo!D201,""),".")</f>
        <v>.</v>
      </c>
      <c r="B110" s="203"/>
      <c r="C110" s="104" t="str">
        <f>IF(OR($C$45=1,$C$45=2,$C$45=3,'Datos de entrada'!$B$36=Ponderaciones!$G$49),IF(Cálculo!E201&lt;&gt;0,Cálculo!E201,""),".")</f>
        <v>.</v>
      </c>
    </row>
    <row r="111" spans="1:3" ht="27.75" customHeight="1" thickBot="1" x14ac:dyDescent="0.3">
      <c r="A111" s="202" t="str">
        <f>IF(OR($C$45=1,$C$45=2,$C$45=3,'Datos de entrada'!$B$36=Ponderaciones!$G$49),IF(Cálculo!D202&lt;&gt;0,Cálculo!D202,""),".")</f>
        <v>.</v>
      </c>
      <c r="B111" s="203"/>
      <c r="C111" s="104" t="str">
        <f>IF(OR($C$45=1,$C$45=2,$C$45=3,'Datos de entrada'!$B$36=Ponderaciones!$G$49),IF(Cálculo!E202&lt;&gt;0,Cálculo!E202,""),".")</f>
        <v>.</v>
      </c>
    </row>
    <row r="112" spans="1:3" ht="27.75" customHeight="1" thickBot="1" x14ac:dyDescent="0.3">
      <c r="A112" s="202" t="str">
        <f>IF(OR($C$45=1,$C$45=2,$C$45=3,'Datos de entrada'!$B$36=Ponderaciones!$G$49),IF(Cálculo!D203&lt;&gt;0,Cálculo!D203,""),".")</f>
        <v>.</v>
      </c>
      <c r="B112" s="203"/>
      <c r="C112" s="104" t="str">
        <f>IF(OR($C$45=1,$C$45=2,$C$45=3,'Datos de entrada'!$B$36=Ponderaciones!$G$49),IF(Cálculo!E203&lt;&gt;0,Cálculo!E203,""),".")</f>
        <v>.</v>
      </c>
    </row>
    <row r="113" spans="1:3" ht="27.75" customHeight="1" thickBot="1" x14ac:dyDescent="0.3">
      <c r="A113" s="202" t="str">
        <f>IF(OR($C$45=1,$C$45=2,$C$45=3,'Datos de entrada'!$B$36=Ponderaciones!$G$49),IF(Cálculo!D204&lt;&gt;0,Cálculo!D204,""),".")</f>
        <v>.</v>
      </c>
      <c r="B113" s="203"/>
      <c r="C113" s="104" t="str">
        <f>IF(OR($C$45=1,$C$45=2,$C$45=3,'Datos de entrada'!$B$36=Ponderaciones!$G$49),IF(Cálculo!E204&lt;&gt;0,Cálculo!E204,""),".")</f>
        <v>.</v>
      </c>
    </row>
    <row r="114" spans="1:3" ht="27.75" customHeight="1" thickBot="1" x14ac:dyDescent="0.3">
      <c r="A114" s="202" t="str">
        <f>IF(OR($C$45=1,$C$45=2,$C$45=3,'Datos de entrada'!$B$36=Ponderaciones!$G$49),IF(Cálculo!D205&lt;&gt;0,Cálculo!D205,""),".")</f>
        <v>.</v>
      </c>
      <c r="B114" s="203"/>
      <c r="C114" s="104" t="str">
        <f>IF(OR($C$45=1,$C$45=2,$C$45=3,'Datos de entrada'!$B$36=Ponderaciones!$G$49),IF(Cálculo!E205&lt;&gt;0,Cálculo!E205,""),".")</f>
        <v>.</v>
      </c>
    </row>
    <row r="115" spans="1:3" ht="27.75" customHeight="1" thickBot="1" x14ac:dyDescent="0.3">
      <c r="A115" s="202" t="str">
        <f>IF(OR($C$45=1,$C$45=2,$C$45=3,'Datos de entrada'!$B$36=Ponderaciones!$G$49),IF(Cálculo!D206&lt;&gt;0,Cálculo!D206,""),".")</f>
        <v>.</v>
      </c>
      <c r="B115" s="203"/>
      <c r="C115" s="104" t="str">
        <f>IF(OR($C$45=1,$C$45=2,$C$45=3,'Datos de entrada'!$B$36=Ponderaciones!$G$49),IF(Cálculo!E206&lt;&gt;0,Cálculo!E206,""),".")</f>
        <v>.</v>
      </c>
    </row>
    <row r="116" spans="1:3" ht="27.75" customHeight="1" thickBot="1" x14ac:dyDescent="0.3">
      <c r="A116" s="202" t="str">
        <f>IF(OR($C$45=1,$C$45=2,$C$45=3,'Datos de entrada'!$B$36=Ponderaciones!$G$49),IF(Cálculo!D207&lt;&gt;0,Cálculo!D207,""),".")</f>
        <v>.</v>
      </c>
      <c r="B116" s="203"/>
      <c r="C116" s="104" t="str">
        <f>IF(OR($C$45=1,$C$45=2,$C$45=3,'Datos de entrada'!$B$36=Ponderaciones!$G$49),IF(Cálculo!E207&lt;&gt;0,Cálculo!E207,""),".")</f>
        <v>.</v>
      </c>
    </row>
    <row r="117" spans="1:3" ht="27.75" customHeight="1" thickBot="1" x14ac:dyDescent="0.3">
      <c r="A117" s="202" t="str">
        <f>IF(OR($C$45=1,$C$45=2,$C$45=3,'Datos de entrada'!$B$36=Ponderaciones!$G$49),IF(Cálculo!D208&lt;&gt;0,Cálculo!D208,""),".")</f>
        <v>.</v>
      </c>
      <c r="B117" s="203"/>
      <c r="C117" s="104" t="str">
        <f>IF(OR($C$45=1,$C$45=2,$C$45=3,'Datos de entrada'!$B$36=Ponderaciones!$G$49),IF(Cálculo!E208&lt;&gt;0,Cálculo!E208,""),".")</f>
        <v>.</v>
      </c>
    </row>
    <row r="118" spans="1:3" ht="27.75" customHeight="1" thickBot="1" x14ac:dyDescent="0.3">
      <c r="A118" s="202" t="str">
        <f>IF(OR($C$45=1,$C$45=2,$C$45=3,'Datos de entrada'!$B$36=Ponderaciones!$G$49),IF(Cálculo!D209&lt;&gt;0,Cálculo!D209,""),".")</f>
        <v>.</v>
      </c>
      <c r="B118" s="203"/>
      <c r="C118" s="104" t="str">
        <f>IF(OR($C$45=1,$C$45=2,$C$45=3,'Datos de entrada'!$B$36=Ponderaciones!$G$49),IF(Cálculo!E209&lt;&gt;0,Cálculo!E209,""),".")</f>
        <v>.</v>
      </c>
    </row>
    <row r="119" spans="1:3" ht="27.75" customHeight="1" thickBot="1" x14ac:dyDescent="0.3">
      <c r="A119" s="202" t="str">
        <f>IF(OR($C$45=1,$C$45=2,$C$45=3,'Datos de entrada'!$B$36=Ponderaciones!$G$49),IF(Cálculo!D210&lt;&gt;0,Cálculo!D210,""),".")</f>
        <v>.</v>
      </c>
      <c r="B119" s="203"/>
      <c r="C119" s="104" t="str">
        <f>IF(OR($C$45=1,$C$45=2,$C$45=3,'Datos de entrada'!$B$36=Ponderaciones!$G$49),IF(Cálculo!E210&lt;&gt;0,Cálculo!E210,""),".")</f>
        <v>.</v>
      </c>
    </row>
    <row r="120" spans="1:3" ht="17.25" thickBot="1" x14ac:dyDescent="0.3">
      <c r="A120" s="202" t="str">
        <f>IF(OR($C$45=1,$C$45=2,$C$45=3,'Datos de entrada'!$B$36=Ponderaciones!$G$49),IF(Cálculo!D211&lt;&gt;0,Cálculo!D211,""),".")</f>
        <v>.</v>
      </c>
      <c r="B120" s="203"/>
      <c r="C120" s="104" t="str">
        <f>IF(OR($C$45=1,$C$45=2,$C$45=3,'Datos de entrada'!$B$36=Ponderaciones!$G$49),IF(Cálculo!E211&lt;&gt;0,Cálculo!E211,""),".")</f>
        <v>.</v>
      </c>
    </row>
    <row r="121" spans="1:3" x14ac:dyDescent="0.25">
      <c r="A121" s="98"/>
      <c r="C121" s="99"/>
    </row>
    <row r="122" spans="1:3" x14ac:dyDescent="0.25">
      <c r="A122" s="204" t="str">
        <f>IF(OR($C$45=1,$C$45=2,$C$45=3,'Datos de entrada'!$B$36=Ponderaciones!$G$49),"Ingresos",".")</f>
        <v>.</v>
      </c>
      <c r="B122" s="205"/>
      <c r="C122" s="206"/>
    </row>
    <row r="123" spans="1:3" ht="17.25" thickBot="1" x14ac:dyDescent="0.3">
      <c r="A123" s="146"/>
      <c r="C123" s="99"/>
    </row>
    <row r="124" spans="1:3" ht="27.75" customHeight="1" thickBot="1" x14ac:dyDescent="0.3">
      <c r="A124" s="202" t="str">
        <f>IF(OR($C$45=1,$C$45=2,$C$45=3,'Datos de entrada'!$B$36=Ponderaciones!$G$49),Cálculo!G200,".")</f>
        <v>.</v>
      </c>
      <c r="B124" s="203"/>
      <c r="C124" s="104" t="str">
        <f>IF(OR($C$45=1,$C$45=2,$C$45=3,'Datos de entrada'!$B$36=Ponderaciones!$G$49),Cálculo!H200,".")</f>
        <v>.</v>
      </c>
    </row>
    <row r="125" spans="1:3" hidden="1" x14ac:dyDescent="0.25">
      <c r="A125" s="98"/>
      <c r="C125" s="99"/>
    </row>
    <row r="126" spans="1:3" ht="17.25" thickBot="1" x14ac:dyDescent="0.3">
      <c r="A126" s="98"/>
      <c r="C126" s="99"/>
    </row>
    <row r="127" spans="1:3" ht="17.25" thickBot="1" x14ac:dyDescent="0.3">
      <c r="A127" s="103" t="str">
        <f>IF(OR($C$45=1,$C$45=2,$C$45=3,'Datos de entrada'!$B$36=Ponderaciones!$G$49),"Tecnología 2",".")</f>
        <v>.</v>
      </c>
      <c r="B127" s="209" t="str">
        <f>IF(OR($C$45=1,$C$45=2,$C$45=3,'Datos de entrada'!$B$36=Ponderaciones!$G$49),$B$62,".")</f>
        <v>.</v>
      </c>
      <c r="C127" s="210"/>
    </row>
    <row r="128" spans="1:3" ht="17.25" thickBot="1" x14ac:dyDescent="0.3">
      <c r="A128" s="98"/>
      <c r="C128" s="99"/>
    </row>
    <row r="129" spans="1:3" ht="17.25" thickBot="1" x14ac:dyDescent="0.3">
      <c r="A129" s="100" t="str">
        <f>IF(OR($C$45=1,$C$45=2,$C$45=3,'Datos de entrada'!$B$36=Ponderaciones!$G$49),"Variable",".")</f>
        <v>.</v>
      </c>
      <c r="B129" s="226" t="str">
        <f>IF(OR($C$45=1,$C$45=2,$C$45=3,'Datos de entrada'!$B$36=Ponderaciones!$G$49),"Descripción",".")</f>
        <v>.</v>
      </c>
      <c r="C129" s="206"/>
    </row>
    <row r="130" spans="1:3" ht="114" customHeight="1" thickBot="1" x14ac:dyDescent="0.3">
      <c r="A130" s="190" t="str">
        <f>IF(OR($C$45=1,$C$45=2,$C$45=3,'Datos de entrada'!$B$36=Ponderaciones!$G$49),'Interpretación de Resultados'!A2,".")</f>
        <v>.</v>
      </c>
      <c r="B130" s="207" t="str">
        <f>IF(OR($C$45=1,$C$45=2,$C$45=3,'Datos de entrada'!$B$36=Ponderaciones!$G$49),VLOOKUP(B127,'Fichas técnicas Tecnologías'!$A$3:$K$10,2,FALSE),".")</f>
        <v>.</v>
      </c>
      <c r="C130" s="208"/>
    </row>
    <row r="131" spans="1:3" ht="31.5" customHeight="1" thickBot="1" x14ac:dyDescent="0.3">
      <c r="A131" s="190" t="str">
        <f>IF(OR($C$45=1,$C$45=2,$C$45=3,'Datos de entrada'!$B$36=Ponderaciones!$G$49),'Interpretación de Resultados'!A3,".")</f>
        <v>.</v>
      </c>
      <c r="B131" s="207" t="str">
        <f>IF(OR($C$45=1,$C$45=2,$C$45=3,'Datos de entrada'!$B$36=Ponderaciones!$G$49),VLOOKUP(B127,'Fichas técnicas Tecnologías'!$A$3:$K$10,9,FALSE),".")</f>
        <v>.</v>
      </c>
      <c r="C131" s="208"/>
    </row>
    <row r="132" spans="1:3" ht="41.25" customHeight="1" thickBot="1" x14ac:dyDescent="0.3">
      <c r="A132" s="190" t="str">
        <f>IF(OR($C$45=1,$C$45=2,$C$45=3,'Datos de entrada'!$B$36=Ponderaciones!$G$49),'Interpretación de Resultados'!A4,".")</f>
        <v>.</v>
      </c>
      <c r="B132" s="207" t="str">
        <f>IF(OR($C$45=1,$C$45=2,$C$45=3,'Datos de entrada'!$B$36=Ponderaciones!$G$49),VLOOKUP(B127,'Fichas técnicas Tecnologías'!$A$3:$K$10,3,FALSE),".")</f>
        <v>.</v>
      </c>
      <c r="C132" s="208"/>
    </row>
    <row r="133" spans="1:3" ht="108.75" customHeight="1" thickBot="1" x14ac:dyDescent="0.3">
      <c r="A133" s="122" t="str">
        <f>IF(OR($C$45=1,$C$45=2,$C$45=3,'Datos de entrada'!$B$36=Ponderaciones!$G$49), "Considerar",".")</f>
        <v>.</v>
      </c>
      <c r="B133" s="215" t="str">
        <f>IF(OR($C$45=1,$C$45=2,$C$45=3,'Datos de entrada'!$B$36=Ponderaciones!$G$49),VLOOKUP(B127,'Fichas técnicas Tecnologías'!$A$3:$K$10,4,FALSE),".")</f>
        <v>.</v>
      </c>
      <c r="C133" s="216"/>
    </row>
    <row r="134" spans="1:3" ht="39.75" customHeight="1" thickBot="1" x14ac:dyDescent="0.3">
      <c r="A134" s="190" t="str">
        <f>IF(OR($C$45=1,$C$45=2,$C$45=3,'Datos de entrada'!$B$36=Ponderaciones!$G$49),'Interpretación de Resultados'!A5,".")</f>
        <v>.</v>
      </c>
      <c r="B134" s="207" t="str">
        <f>IF(OR($C$45=1,$C$45=2,$C$45=3,'Datos de entrada'!$B$36=Ponderaciones!$G$49),VLOOKUP(B127,'Fichas técnicas Tecnologías'!$A$3:$K$10,5,FALSE),".")</f>
        <v>.</v>
      </c>
      <c r="C134" s="208"/>
    </row>
    <row r="135" spans="1:3" ht="153.75" customHeight="1" thickBot="1" x14ac:dyDescent="0.3">
      <c r="A135" s="122" t="str">
        <f>IF(OR($C$45=1,$C$45=2,$C$45=3,'Datos de entrada'!$B$36=Ponderaciones!$G$49), "Considerar",".")</f>
        <v>.</v>
      </c>
      <c r="B135" s="215" t="str">
        <f>IF(OR($C$45=1,$C$45=2,$C$45=3,'Datos de entrada'!$B$36=Ponderaciones!$G$49),VLOOKUP(B127,'Fichas técnicas Tecnologías'!$A$3:$K$10,6,FALSE),".")</f>
        <v>.</v>
      </c>
      <c r="C135" s="216"/>
    </row>
    <row r="136" spans="1:3" ht="39.75" customHeight="1" thickBot="1" x14ac:dyDescent="0.3">
      <c r="A136" s="190" t="str">
        <f>IF(OR($C$45=1,$C$45=2,$C$45=3,'Datos de entrada'!$B$36=Ponderaciones!$G$49),'Interpretación de Resultados'!A6,".")</f>
        <v>.</v>
      </c>
      <c r="B136" s="207" t="str">
        <f>IF(OR($C$45=1,$C$45=2,$C$45=3,'Datos de entrada'!$B$36=Ponderaciones!$G$49),VLOOKUP(B127,'Fichas técnicas Tecnologías'!$A$3:$K$10,7,FALSE),".")</f>
        <v>.</v>
      </c>
      <c r="C136" s="208"/>
    </row>
    <row r="137" spans="1:3" ht="99" customHeight="1" thickBot="1" x14ac:dyDescent="0.3">
      <c r="A137" s="122" t="str">
        <f>IF(OR($C$45=1,$C$45=2,$C$45=3,'Datos de entrada'!$B$36=Ponderaciones!$G$49), "Considerar",".")</f>
        <v>.</v>
      </c>
      <c r="B137" s="215" t="str">
        <f>IF(OR($C$45=1,$C$45=2,$C$45=3,'Datos de entrada'!$B$36=Ponderaciones!$G$49),VLOOKUP(B127,'Fichas técnicas Tecnologías'!$A$3:$K$10,8,FALSE),".")</f>
        <v>.</v>
      </c>
      <c r="C137" s="216"/>
    </row>
    <row r="138" spans="1:3" ht="47.25" customHeight="1" thickBot="1" x14ac:dyDescent="0.3">
      <c r="A138" s="190" t="str">
        <f>IF(OR($C$45=1,$C$45=2,$C$45=3,'Datos de entrada'!$B$36=Ponderaciones!$G$49),'Interpretación de Resultados'!A7,".")</f>
        <v>.</v>
      </c>
      <c r="B138" s="207" t="str">
        <f>IF(OR($C$45=1,$C$45=2,$C$45=3,'Datos de entrada'!$B$36=Ponderaciones!$G$49),VLOOKUP(B127,'Fichas técnicas Tecnologías'!$A$3:$K$10,11,FALSE),".")</f>
        <v>.</v>
      </c>
      <c r="C138" s="208"/>
    </row>
    <row r="139" spans="1:3" ht="138.75" customHeight="1" thickBot="1" x14ac:dyDescent="0.3">
      <c r="A139" s="122" t="str">
        <f>IF(OR($C$45=1,$C$45=2,$C$45=3,'Datos de entrada'!$B$36=Ponderaciones!$G$49), "Considerar",".")</f>
        <v>.</v>
      </c>
      <c r="B139" s="207" t="str">
        <f>IF(OR($C$45=1,$C$45=2,$C$45=3,'Datos de entrada'!$B$36=Ponderaciones!$G$49),VLOOKUP(B127,'Fichas técnicas Tecnologías'!$A$3:$N$10,12,FALSE)&amp;VLOOKUP(B127,'Fichas técnicas Tecnologías'!$A$3:$U$10,20,FALSE),".")</f>
        <v>.</v>
      </c>
      <c r="C139" s="208"/>
    </row>
    <row r="140" spans="1:3" ht="35.25" customHeight="1" thickBot="1" x14ac:dyDescent="0.3">
      <c r="A140" s="190" t="str">
        <f>IF(OR($C$45=1,$C$45=2,$C$45=3,'Datos de entrada'!$B$36=Ponderaciones!$G$49),'Interpretación de Resultados'!A8,".")</f>
        <v>.</v>
      </c>
      <c r="B140" s="211" t="str">
        <f>IF(OR($C$45=1,$C$45=2,$C$45=3,'Datos de entrada'!$B$36=Ponderaciones!$G$49),VLOOKUP(2,Cálculo!$B$156:$U$160,15,FALSE),".")</f>
        <v>.</v>
      </c>
      <c r="C140" s="212"/>
    </row>
    <row r="141" spans="1:3" ht="50.25" customHeight="1" thickBot="1" x14ac:dyDescent="0.3">
      <c r="A141" s="122" t="str">
        <f>IF(OR($C$45=1,$C$45=2,$C$45=3,'Datos de entrada'!$B$36=Ponderaciones!$G$49), "Considerar",".")</f>
        <v>.</v>
      </c>
      <c r="B141" s="207" t="str">
        <f>IF(OR($C$45=1,$C$45=2,$C$45=3,'Datos de entrada'!$B$36=Ponderaciones!$G$49),"La desviación de residuos se estima teniendo en cuenta la capacidad de la planta.",".")</f>
        <v>.</v>
      </c>
      <c r="C141" s="208"/>
    </row>
    <row r="142" spans="1:3" ht="81.75" customHeight="1" thickBot="1" x14ac:dyDescent="0.3">
      <c r="A142" s="190" t="str">
        <f>IF(OR($C$45=1,$C$45=2,$C$45=3,'Datos de entrada'!$B$36=Ponderaciones!$G$49),'Interpretación de Resultados'!A9,".")</f>
        <v>.</v>
      </c>
      <c r="B142" s="213" t="str">
        <f>IF(OR($C$45=1,$C$45=2,$C$45=3,'Datos de entrada'!$B$36=Ponderaciones!$G$49),VLOOKUP(2,Cálculo!$B$156:$U$160,19,FALSE),".")</f>
        <v>.</v>
      </c>
      <c r="C142" s="214"/>
    </row>
    <row r="143" spans="1:3" ht="171.75" customHeight="1" thickBot="1" x14ac:dyDescent="0.3">
      <c r="A143" s="122" t="str">
        <f>IF(OR($C$45=1,$C$45=2,$C$45=3,'Datos de entrada'!$B$36=Ponderaciones!$G$49), "Considerar",".")</f>
        <v>.</v>
      </c>
      <c r="B143" s="207" t="str">
        <f>IF(OR($C$45=1,$C$45=2,$C$45=3,'Datos de entrada'!$B$36=Ponderaciones!$G$49),IF('Datos de entrada'!$B$43=Ponderaciones!$D$77, _xlfn.CONCAT("Se recomienda implementar un sistema de extracción y aprovechamiento del biogás en el sitio de disposición final, ", "para tratar los Gases de Efecto Invernadero generados por la descomposición de la materia orgánica de los residuos allí dispuestos.",VLOOKUP(B127,'Fichas técnicas Tecnologías'!A:M,13,0)), IF('Datos de entrada'!$B$43=Ponderaciones!$D$78, _xlfn.CONCAT("Se recomienda implementar un sistema de aprovechamiento del biogás en el sitio de disposición final, ", "para tratar los Gases de Efecto Invernadero generados por la descomposición de la materia orgánica de los residuos allí dispuestos.",VLOOKUP(B127,'Fichas técnicas Tecnologías'!A:M,13,0)), "El sistema de extracción y aprovechamiento de biogás instalado en el relleno sanitario permite la reducción de Gases de Efecto Invernadero generados por la descomposición de materia orgánica de los residuos allí dispuestos."&amp;VLOOKUP(B127,'Fichas técnicas Tecnologías'!A:M,13,0))),".")</f>
        <v>.</v>
      </c>
      <c r="C143" s="208"/>
    </row>
    <row r="144" spans="1:3" x14ac:dyDescent="0.25">
      <c r="A144" s="98"/>
      <c r="C144" s="99"/>
    </row>
    <row r="145" spans="1:3" x14ac:dyDescent="0.25">
      <c r="A145" s="204" t="str">
        <f>IF(OR($C$45=1,$C$45=2,$C$45=3,'Datos de entrada'!$B$36=Ponderaciones!$G$49),"Costos de inversión",".")</f>
        <v>.</v>
      </c>
      <c r="B145" s="205"/>
      <c r="C145" s="206"/>
    </row>
    <row r="146" spans="1:3" ht="17.25" thickBot="1" x14ac:dyDescent="0.3">
      <c r="A146" s="98"/>
      <c r="C146" s="99"/>
    </row>
    <row r="147" spans="1:3" ht="18.75" customHeight="1" thickBot="1" x14ac:dyDescent="0.3">
      <c r="A147" s="202" t="str">
        <f>IF(OR($C$45=1,$C$45=2,$C$45=3,'Datos de entrada'!$B$36=Ponderaciones!$G$49),IF(Cálculo!A248&lt;&gt;0,Cálculo!A248,""),".")</f>
        <v>.</v>
      </c>
      <c r="B147" s="203"/>
      <c r="C147" s="104" t="str">
        <f>IF(OR($C$45=1,$C$45=2,$C$45=3,'Datos de entrada'!$B$36=Ponderaciones!$G$49),IF(Cálculo!B248&lt;&gt;0,Cálculo!B248,""),".")</f>
        <v>.</v>
      </c>
    </row>
    <row r="148" spans="1:3" ht="18.75" customHeight="1" thickBot="1" x14ac:dyDescent="0.3">
      <c r="A148" s="202" t="str">
        <f>IF(OR($C$45=1,$C$45=2,$C$45=3,'Datos de entrada'!$B$36=Ponderaciones!$G$49),IF(Cálculo!A249&lt;&gt;0,Cálculo!A249,""),".")</f>
        <v>.</v>
      </c>
      <c r="B148" s="203"/>
      <c r="C148" s="104" t="str">
        <f>IF(OR($C$45=1,$C$45=2,$C$45=3,'Datos de entrada'!$B$36=Ponderaciones!$G$49),IF(Cálculo!B249&lt;&gt;0,Cálculo!B249,""),".")</f>
        <v>.</v>
      </c>
    </row>
    <row r="149" spans="1:3" ht="18.75" customHeight="1" thickBot="1" x14ac:dyDescent="0.3">
      <c r="A149" s="202" t="str">
        <f>IF(OR($C$45=1,$C$45=2,$C$45=3,'Datos de entrada'!$B$36=Ponderaciones!$G$49),IF(Cálculo!A250&lt;&gt;0,Cálculo!A250,""),".")</f>
        <v>.</v>
      </c>
      <c r="B149" s="203"/>
      <c r="C149" s="104" t="str">
        <f>IF(OR($C$45=1,$C$45=2,$C$45=3,'Datos de entrada'!$B$36=Ponderaciones!$G$49),IF(Cálculo!B250&lt;&gt;0,Cálculo!B250,""),".")</f>
        <v>.</v>
      </c>
    </row>
    <row r="150" spans="1:3" ht="18.75" customHeight="1" thickBot="1" x14ac:dyDescent="0.3">
      <c r="A150" s="202" t="str">
        <f>IF(OR($C$45=1,$C$45=2,$C$45=3,'Datos de entrada'!$B$36=Ponderaciones!$G$49),IF(Cálculo!A251&lt;&gt;0,Cálculo!A251,""),".")</f>
        <v>.</v>
      </c>
      <c r="B150" s="203"/>
      <c r="C150" s="104" t="str">
        <f>IF(OR($C$45=1,$C$45=2,$C$45=3,'Datos de entrada'!$B$36=Ponderaciones!$G$49),IF(Cálculo!B251&lt;&gt;0,Cálculo!B251,""),".")</f>
        <v>.</v>
      </c>
    </row>
    <row r="151" spans="1:3" ht="18.75" customHeight="1" thickBot="1" x14ac:dyDescent="0.3">
      <c r="A151" s="202" t="str">
        <f>IF(OR($C$45=1,$C$45=2,$C$45=3,'Datos de entrada'!$B$36=Ponderaciones!$G$49),IF(Cálculo!A252&lt;&gt;0,Cálculo!A252,""),".")</f>
        <v>.</v>
      </c>
      <c r="B151" s="203"/>
      <c r="C151" s="104" t="str">
        <f>IF(OR($C$45=1,$C$45=2,$C$45=3,'Datos de entrada'!$B$36=Ponderaciones!$G$49),IF(Cálculo!B252&lt;&gt;0,Cálculo!B252,""),".")</f>
        <v>.</v>
      </c>
    </row>
    <row r="152" spans="1:3" ht="18.75" customHeight="1" thickBot="1" x14ac:dyDescent="0.3">
      <c r="A152" s="202" t="str">
        <f>IF(OR($C$45=1,$C$45=2,$C$45=3,'Datos de entrada'!$B$36=Ponderaciones!$G$49),IF(Cálculo!A253&lt;&gt;0,Cálculo!A253,""),".")</f>
        <v>.</v>
      </c>
      <c r="B152" s="203"/>
      <c r="C152" s="104" t="str">
        <f>IF(OR($C$45=1,$C$45=2,$C$45=3,'Datos de entrada'!$B$36=Ponderaciones!$G$49),IF(Cálculo!B253&lt;&gt;0,Cálculo!B253,""),".")</f>
        <v>.</v>
      </c>
    </row>
    <row r="153" spans="1:3" ht="18.75" customHeight="1" thickBot="1" x14ac:dyDescent="0.3">
      <c r="A153" s="202" t="str">
        <f>IF(OR($C$45=1,$C$45=2,$C$45=3,'Datos de entrada'!$B$36=Ponderaciones!$G$49),IF(Cálculo!A254&lt;&gt;0,Cálculo!A254,""),".")</f>
        <v>.</v>
      </c>
      <c r="B153" s="203"/>
      <c r="C153" s="104" t="str">
        <f>IF(OR($C$45=1,$C$45=2,$C$45=3,'Datos de entrada'!$B$36=Ponderaciones!$G$49),IF(Cálculo!B254&lt;&gt;0,Cálculo!B254,""),".")</f>
        <v>.</v>
      </c>
    </row>
    <row r="154" spans="1:3" ht="18.75" customHeight="1" thickBot="1" x14ac:dyDescent="0.3">
      <c r="A154" s="202" t="str">
        <f>IF(OR($C$45=1,$C$45=2,$C$45=3,'Datos de entrada'!$B$36=Ponderaciones!$G$49),IF(Cálculo!A255&lt;&gt;0,Cálculo!A255,""),".")</f>
        <v>.</v>
      </c>
      <c r="B154" s="203"/>
      <c r="C154" s="104" t="str">
        <f>IF(OR($C$45=1,$C$45=2,$C$45=3,'Datos de entrada'!$B$36=Ponderaciones!$G$49),IF(Cálculo!B255&lt;&gt;0,Cálculo!B255,""),".")</f>
        <v>.</v>
      </c>
    </row>
    <row r="155" spans="1:3" ht="18.75" customHeight="1" thickBot="1" x14ac:dyDescent="0.3">
      <c r="A155" s="202" t="str">
        <f>IF(OR($C$45=1,$C$45=2,$C$45=3,'Datos de entrada'!$B$36=Ponderaciones!$G$49),IF(Cálculo!A256&lt;&gt;0,Cálculo!A256,""),".")</f>
        <v>.</v>
      </c>
      <c r="B155" s="203"/>
      <c r="C155" s="104" t="str">
        <f>IF(OR($C$45=1,$C$45=2,$C$45=3,'Datos de entrada'!$B$36=Ponderaciones!$G$49),IF(Cálculo!B256&lt;&gt;0,Cálculo!B256,""),".")</f>
        <v>.</v>
      </c>
    </row>
    <row r="156" spans="1:3" ht="18.75" customHeight="1" thickBot="1" x14ac:dyDescent="0.3">
      <c r="A156" s="202" t="str">
        <f>IF(OR($C$45=1,$C$45=2,$C$45=3,'Datos de entrada'!$B$36=Ponderaciones!$G$49),IF(Cálculo!A257&lt;&gt;0,Cálculo!A257,""),".")</f>
        <v>.</v>
      </c>
      <c r="B156" s="203"/>
      <c r="C156" s="104" t="str">
        <f>IF(OR($C$45=1,$C$45=2,$C$45=3,'Datos de entrada'!$B$36=Ponderaciones!$G$49),IF(Cálculo!B257&lt;&gt;0,Cálculo!B257,""),".")</f>
        <v>.</v>
      </c>
    </row>
    <row r="157" spans="1:3" ht="18.75" customHeight="1" thickBot="1" x14ac:dyDescent="0.3">
      <c r="A157" s="202" t="str">
        <f>IF(OR($C$45=1,$C$45=2,$C$45=3,'Datos de entrada'!$B$36=Ponderaciones!$G$49),IF(Cálculo!A258&lt;&gt;0,Cálculo!A258,""),".")</f>
        <v>.</v>
      </c>
      <c r="B157" s="203"/>
      <c r="C157" s="104" t="str">
        <f>IF(OR($C$45=1,$C$45=2,$C$45=3,'Datos de entrada'!$B$36=Ponderaciones!$G$49),IF(Cálculo!B258&lt;&gt;0,Cálculo!B258,""),".")</f>
        <v>.</v>
      </c>
    </row>
    <row r="158" spans="1:3" ht="18.75" customHeight="1" thickBot="1" x14ac:dyDescent="0.3">
      <c r="A158" s="202" t="str">
        <f>IF(OR($C$45=1,$C$45=2,$C$45=3,'Datos de entrada'!$B$36=Ponderaciones!$G$49),IF(Cálculo!A259&lt;&gt;0,Cálculo!A259,""),".")</f>
        <v>.</v>
      </c>
      <c r="B158" s="203"/>
      <c r="C158" s="104" t="str">
        <f>IF(OR($C$45=1,$C$45=2,$C$45=3,'Datos de entrada'!$B$36=Ponderaciones!$G$49),IF(Cálculo!B259&lt;&gt;0,Cálculo!B259,""),".")</f>
        <v>.</v>
      </c>
    </row>
    <row r="159" spans="1:3" ht="18.75" customHeight="1" thickBot="1" x14ac:dyDescent="0.3">
      <c r="A159" s="202" t="str">
        <f>IF(OR($C$45=1,$C$45=2,$C$45=3,'Datos de entrada'!$B$36=Ponderaciones!$G$49),IF(Cálculo!A260&lt;&gt;0,Cálculo!A260,""),".")</f>
        <v>.</v>
      </c>
      <c r="B159" s="203"/>
      <c r="C159" s="104" t="str">
        <f>IF(OR($C$45=1,$C$45=2,$C$45=3,'Datos de entrada'!$B$36=Ponderaciones!$G$49),IF(Cálculo!B260&lt;&gt;0,Cálculo!B260,""),".")</f>
        <v>.</v>
      </c>
    </row>
    <row r="160" spans="1:3" ht="18.75" customHeight="1" thickBot="1" x14ac:dyDescent="0.3">
      <c r="A160" s="202" t="str">
        <f>IF(OR($C$45=1,$C$45=2,$C$45=3,'Datos de entrada'!$B$36=Ponderaciones!$G$49),IF(Cálculo!A261&lt;&gt;0,Cálculo!A261,""),".")</f>
        <v>.</v>
      </c>
      <c r="B160" s="203"/>
      <c r="C160" s="104" t="str">
        <f>IF(OR($C$45=1,$C$45=2,$C$45=3,'Datos de entrada'!$B$36=Ponderaciones!$G$49),IF(Cálculo!B261&lt;&gt;0,Cálculo!B261,""),".")</f>
        <v>.</v>
      </c>
    </row>
    <row r="161" spans="1:3" ht="18.75" customHeight="1" thickBot="1" x14ac:dyDescent="0.3">
      <c r="A161" s="202" t="str">
        <f>IF(OR($C$45=1,$C$45=2,$C$45=3,'Datos de entrada'!$B$36=Ponderaciones!$G$49),IF(Cálculo!A262&lt;&gt;0,Cálculo!A262,""),".")</f>
        <v>.</v>
      </c>
      <c r="B161" s="203"/>
      <c r="C161" s="104" t="str">
        <f>IF(OR($C$45=1,$C$45=2,$C$45=3,'Datos de entrada'!$B$36=Ponderaciones!$G$49),IF(Cálculo!B262&lt;&gt;0,Cálculo!B262,""),".")</f>
        <v>.</v>
      </c>
    </row>
    <row r="162" spans="1:3" ht="18.75" customHeight="1" thickBot="1" x14ac:dyDescent="0.3">
      <c r="A162" s="202" t="str">
        <f>IF(OR($C$45=1,$C$45=2,$C$45=3,'Datos de entrada'!$B$36=Ponderaciones!$G$49),IF(Cálculo!A263&lt;&gt;0,Cálculo!A263,""),".")</f>
        <v>.</v>
      </c>
      <c r="B162" s="203"/>
      <c r="C162" s="104" t="str">
        <f>IF(OR($C$45=1,$C$45=2,$C$45=3,'Datos de entrada'!$B$36=Ponderaciones!$G$49),IF(Cálculo!B263&lt;&gt;0,Cálculo!B263,""),".")</f>
        <v>.</v>
      </c>
    </row>
    <row r="163" spans="1:3" ht="18.75" customHeight="1" thickBot="1" x14ac:dyDescent="0.3">
      <c r="A163" s="202" t="str">
        <f>IF(OR($C$45=1,$C$45=2,$C$45=3,'Datos de entrada'!$B$36=Ponderaciones!$G$49),IF(Cálculo!A264&lt;&gt;0,Cálculo!A264,""),".")</f>
        <v>.</v>
      </c>
      <c r="B163" s="203"/>
      <c r="C163" s="104" t="str">
        <f>IF(OR($C$45=1,$C$45=2,$C$45=3,'Datos de entrada'!$B$36=Ponderaciones!$G$49),IF(Cálculo!B264&lt;&gt;0,Cálculo!B264,""),".")</f>
        <v>.</v>
      </c>
    </row>
    <row r="164" spans="1:3" x14ac:dyDescent="0.25">
      <c r="A164" s="98"/>
      <c r="C164" s="99"/>
    </row>
    <row r="165" spans="1:3" x14ac:dyDescent="0.25">
      <c r="A165" s="98"/>
      <c r="C165" s="99"/>
    </row>
    <row r="166" spans="1:3" x14ac:dyDescent="0.25">
      <c r="A166" s="98"/>
      <c r="C166" s="99"/>
    </row>
    <row r="167" spans="1:3" x14ac:dyDescent="0.25">
      <c r="A167" s="204" t="str">
        <f>IF(OR($C$45=1,$C$45=2,$C$45=3,'Datos de entrada'!$B$36=Ponderaciones!$G$49),"Costos de operación",".")</f>
        <v>.</v>
      </c>
      <c r="B167" s="205"/>
      <c r="C167" s="206"/>
    </row>
    <row r="168" spans="1:3" ht="17.25" thickBot="1" x14ac:dyDescent="0.3">
      <c r="A168" s="98"/>
      <c r="C168" s="99"/>
    </row>
    <row r="169" spans="1:3" ht="29.25" customHeight="1" thickBot="1" x14ac:dyDescent="0.3">
      <c r="A169" s="202" t="str">
        <f>IF(OR($C$45=1,$C$45=2,$C$45=3,'Datos de entrada'!$B$36=Ponderaciones!$G$49),IF(Cálculo!D248&lt;&gt;0,Cálculo!D248,""),".")</f>
        <v>.</v>
      </c>
      <c r="B169" s="203"/>
      <c r="C169" s="104" t="str">
        <f>IF(OR($C$45=1,$C$45=2,$C$45=3,'Datos de entrada'!$B$36=Ponderaciones!$G$49),IF(Cálculo!E248&lt;&gt;0,Cálculo!E248,""),".")</f>
        <v>.</v>
      </c>
    </row>
    <row r="170" spans="1:3" ht="29.25" customHeight="1" thickBot="1" x14ac:dyDescent="0.3">
      <c r="A170" s="202" t="str">
        <f>IF(OR($C$45=1,$C$45=2,$C$45=3,'Datos de entrada'!$B$36=Ponderaciones!$G$49),IF(Cálculo!D249&lt;&gt;0,Cálculo!D249,""),".")</f>
        <v>.</v>
      </c>
      <c r="B170" s="203"/>
      <c r="C170" s="104" t="str">
        <f>IF(OR($C$45=1,$C$45=2,$C$45=3,'Datos de entrada'!$B$36=Ponderaciones!$G$49),IF(Cálculo!E249&lt;&gt;0,Cálculo!E249,""),".")</f>
        <v>.</v>
      </c>
    </row>
    <row r="171" spans="1:3" ht="29.25" customHeight="1" thickBot="1" x14ac:dyDescent="0.3">
      <c r="A171" s="202" t="str">
        <f>IF(OR($C$45=1,$C$45=2,$C$45=3,'Datos de entrada'!$B$36=Ponderaciones!$G$49),IF(Cálculo!D250&lt;&gt;0,Cálculo!D250,""),".")</f>
        <v>.</v>
      </c>
      <c r="B171" s="203"/>
      <c r="C171" s="104" t="str">
        <f>IF(OR($C$45=1,$C$45=2,$C$45=3,'Datos de entrada'!$B$36=Ponderaciones!$G$49),IF(Cálculo!E250&lt;&gt;0,Cálculo!E250,""),".")</f>
        <v>.</v>
      </c>
    </row>
    <row r="172" spans="1:3" ht="29.25" customHeight="1" thickBot="1" x14ac:dyDescent="0.3">
      <c r="A172" s="202" t="str">
        <f>IF(OR($C$45=1,$C$45=2,$C$45=3,'Datos de entrada'!$B$36=Ponderaciones!$G$49),IF(Cálculo!D251&lt;&gt;0,Cálculo!D251,""),".")</f>
        <v>.</v>
      </c>
      <c r="B172" s="203"/>
      <c r="C172" s="104" t="str">
        <f>IF(OR($C$45=1,$C$45=2,$C$45=3,'Datos de entrada'!$B$36=Ponderaciones!$G$49),IF(Cálculo!E251&lt;&gt;0,Cálculo!E251,""),".")</f>
        <v>.</v>
      </c>
    </row>
    <row r="173" spans="1:3" ht="29.25" customHeight="1" thickBot="1" x14ac:dyDescent="0.3">
      <c r="A173" s="202" t="str">
        <f>IF(OR($C$45=1,$C$45=2,$C$45=3,'Datos de entrada'!$B$36=Ponderaciones!$G$49),IF(Cálculo!D252&lt;&gt;0,Cálculo!D252,""),".")</f>
        <v>.</v>
      </c>
      <c r="B173" s="203"/>
      <c r="C173" s="104" t="str">
        <f>IF(OR($C$45=1,$C$45=2,$C$45=3,'Datos de entrada'!$B$36=Ponderaciones!$G$49),IF(Cálculo!E252&lt;&gt;0,Cálculo!E252,""),".")</f>
        <v>.</v>
      </c>
    </row>
    <row r="174" spans="1:3" ht="29.25" customHeight="1" thickBot="1" x14ac:dyDescent="0.3">
      <c r="A174" s="202" t="str">
        <f>IF(OR($C$45=1,$C$45=2,$C$45=3,'Datos de entrada'!$B$36=Ponderaciones!$G$49),IF(Cálculo!D253&lt;&gt;0,Cálculo!D253,""),".")</f>
        <v>.</v>
      </c>
      <c r="B174" s="203"/>
      <c r="C174" s="104" t="str">
        <f>IF(OR($C$45=1,$C$45=2,$C$45=3,'Datos de entrada'!$B$36=Ponderaciones!$G$49),IF(Cálculo!E253&lt;&gt;0,Cálculo!E253,""),".")</f>
        <v>.</v>
      </c>
    </row>
    <row r="175" spans="1:3" ht="29.25" customHeight="1" thickBot="1" x14ac:dyDescent="0.3">
      <c r="A175" s="202" t="str">
        <f>IF(OR($C$45=1,$C$45=2,$C$45=3,'Datos de entrada'!$B$36=Ponderaciones!$G$49),IF(Cálculo!D254&lt;&gt;0,Cálculo!D254,""),".")</f>
        <v>.</v>
      </c>
      <c r="B175" s="203"/>
      <c r="C175" s="104" t="str">
        <f>IF(OR($C$45=1,$C$45=2,$C$45=3,'Datos de entrada'!$B$36=Ponderaciones!$G$49),IF(Cálculo!E254&lt;&gt;0,Cálculo!E254,""),".")</f>
        <v>.</v>
      </c>
    </row>
    <row r="176" spans="1:3" ht="29.25" customHeight="1" thickBot="1" x14ac:dyDescent="0.3">
      <c r="A176" s="202" t="str">
        <f>IF(OR($C$45=1,$C$45=2,$C$45=3,'Datos de entrada'!$B$36=Ponderaciones!$G$49),IF(Cálculo!D255&lt;&gt;0,Cálculo!D255,""),".")</f>
        <v>.</v>
      </c>
      <c r="B176" s="203"/>
      <c r="C176" s="104" t="str">
        <f>IF(OR($C$45=1,$C$45=2,$C$45=3,'Datos de entrada'!$B$36=Ponderaciones!$G$49),IF(Cálculo!E255&lt;&gt;0,Cálculo!E255,""),".")</f>
        <v>.</v>
      </c>
    </row>
    <row r="177" spans="1:3" ht="17.25" customHeight="1" thickBot="1" x14ac:dyDescent="0.3">
      <c r="A177" s="202" t="str">
        <f>IF(OR($C$45=1,$C$45=2,$C$45=3,'Datos de entrada'!$B$36=Ponderaciones!$G$49),IF(Cálculo!D256&lt;&gt;0,Cálculo!D256,""),".")</f>
        <v>.</v>
      </c>
      <c r="B177" s="203"/>
      <c r="C177" s="104" t="str">
        <f>IF(OR($C$45=1,$C$45=2,$C$45=3,'Datos de entrada'!$B$36=Ponderaciones!$G$49),IF(Cálculo!E256&lt;&gt;0,Cálculo!E256,""),".")</f>
        <v>.</v>
      </c>
    </row>
    <row r="178" spans="1:3" ht="17.25" customHeight="1" thickBot="1" x14ac:dyDescent="0.3">
      <c r="A178" s="202" t="str">
        <f>IF(OR($C$45=1,$C$45=2,$C$45=3,'Datos de entrada'!$B$36=Ponderaciones!$G$49),IF(Cálculo!D257&lt;&gt;0,Cálculo!D257,""),".")</f>
        <v>.</v>
      </c>
      <c r="B178" s="203"/>
      <c r="C178" s="104" t="str">
        <f>IF(OR($C$45=1,$C$45=2,$C$45=3,'Datos de entrada'!$B$36=Ponderaciones!$G$49),IF(Cálculo!E257&lt;&gt;0,Cálculo!E257,""),".")</f>
        <v>.</v>
      </c>
    </row>
    <row r="179" spans="1:3" ht="17.25" thickBot="1" x14ac:dyDescent="0.3">
      <c r="A179" s="202" t="str">
        <f>IF(OR($C$45=1,$C$45=2,$C$45=3,'Datos de entrada'!$B$36=Ponderaciones!$G$49),IF(Cálculo!D258&lt;&gt;0,Cálculo!D258,""),".")</f>
        <v>.</v>
      </c>
      <c r="B179" s="203"/>
      <c r="C179" s="104" t="str">
        <f>IF(OR($C$45=1,$C$45=2,$C$45=3,'Datos de entrada'!$B$36=Ponderaciones!$G$49),IF(Cálculo!E258&lt;&gt;0,Cálculo!E258,""),".")</f>
        <v>.</v>
      </c>
    </row>
    <row r="180" spans="1:3" x14ac:dyDescent="0.25">
      <c r="A180" s="98"/>
      <c r="C180" s="99"/>
    </row>
    <row r="181" spans="1:3" x14ac:dyDescent="0.25">
      <c r="A181" s="204" t="str">
        <f>IF(OR($C$45=1,$C$45=2,$C$45=3,'Datos de entrada'!$B$36=Ponderaciones!$G$49),"Ingresos",".")</f>
        <v>.</v>
      </c>
      <c r="B181" s="205"/>
      <c r="C181" s="206"/>
    </row>
    <row r="182" spans="1:3" ht="17.25" thickBot="1" x14ac:dyDescent="0.3">
      <c r="A182" s="98"/>
      <c r="C182" s="99"/>
    </row>
    <row r="183" spans="1:3" ht="35.25" customHeight="1" thickBot="1" x14ac:dyDescent="0.3">
      <c r="A183" s="202" t="str">
        <f>IF(OR($C$45=1,$C$45=2,$C$45=3,'Datos de entrada'!$B$36=Ponderaciones!$G$49),Cálculo!G247,".")</f>
        <v>.</v>
      </c>
      <c r="B183" s="203"/>
      <c r="C183" s="104" t="str">
        <f>IF(OR($C$45=1,$C$45=2,$C$45=3,'Datos de entrada'!$B$36=Ponderaciones!$G$49),Cálculo!H247,".")</f>
        <v>.</v>
      </c>
    </row>
    <row r="184" spans="1:3" ht="17.25" thickBot="1" x14ac:dyDescent="0.3">
      <c r="A184" s="98"/>
      <c r="C184" s="99"/>
    </row>
    <row r="185" spans="1:3" ht="17.25" thickBot="1" x14ac:dyDescent="0.3">
      <c r="A185" s="103" t="str">
        <f>IF(OR($C$45=1,$C$45=2,$C$45=3,'Datos de entrada'!$B$36=Ponderaciones!$G$49),"Tecnología 3",".")</f>
        <v>.</v>
      </c>
      <c r="B185" s="209" t="str">
        <f>IF(OR($C$45=1,$C$45=2,$C$45=3,'Datos de entrada'!$B$36=Ponderaciones!$G$49),$B$63,".")</f>
        <v>.</v>
      </c>
      <c r="C185" s="210"/>
    </row>
    <row r="186" spans="1:3" ht="17.25" thickBot="1" x14ac:dyDescent="0.3">
      <c r="A186" s="98"/>
      <c r="C186" s="99"/>
    </row>
    <row r="187" spans="1:3" ht="17.25" thickBot="1" x14ac:dyDescent="0.3">
      <c r="A187" s="100" t="str">
        <f>IF(OR($C$45=1,$C$45=2,$C$45=3,'Datos de entrada'!$B$36=Ponderaciones!$G$49),"Variable",".")</f>
        <v>.</v>
      </c>
      <c r="B187" s="226" t="str">
        <f>IF(OR($C$45=1,$C$45=2,$C$45=3,'Datos de entrada'!$B$36=Ponderaciones!$G$49),"Descripción",".")</f>
        <v>.</v>
      </c>
      <c r="C187" s="206"/>
    </row>
    <row r="188" spans="1:3" ht="114" customHeight="1" thickBot="1" x14ac:dyDescent="0.3">
      <c r="A188" s="190" t="str">
        <f>IF(OR($C$45=1,$C$45=2,$C$45=3,'Datos de entrada'!$B$36=Ponderaciones!$G$49),'Interpretación de Resultados'!A2,".")</f>
        <v>.</v>
      </c>
      <c r="B188" s="207" t="str">
        <f>IF(OR($C$45=1,$C$45=2,$C$45=3,'Datos de entrada'!$B$36=Ponderaciones!$G$49),VLOOKUP(B185,'Fichas técnicas Tecnologías'!$A$3:$K$10,2,FALSE),".")</f>
        <v>.</v>
      </c>
      <c r="C188" s="208"/>
    </row>
    <row r="189" spans="1:3" ht="31.5" customHeight="1" thickBot="1" x14ac:dyDescent="0.3">
      <c r="A189" s="190" t="str">
        <f>IF(OR($C$45=1,$C$45=2,$C$45=3,'Datos de entrada'!$B$36=Ponderaciones!$G$49),'Interpretación de Resultados'!A3,".")</f>
        <v>.</v>
      </c>
      <c r="B189" s="207" t="str">
        <f>IF(OR($C$45=1,$C$45=2,$C$45=3,'Datos de entrada'!$B$36=Ponderaciones!$G$49),VLOOKUP(B185,'Fichas técnicas Tecnologías'!$A$3:$K$10,9,FALSE),".")</f>
        <v>.</v>
      </c>
      <c r="C189" s="208"/>
    </row>
    <row r="190" spans="1:3" ht="41.25" customHeight="1" thickBot="1" x14ac:dyDescent="0.3">
      <c r="A190" s="190" t="str">
        <f>IF(OR($C$45=1,$C$45=2,$C$45=3,'Datos de entrada'!$B$36=Ponderaciones!$G$49),'Interpretación de Resultados'!A4,".")</f>
        <v>.</v>
      </c>
      <c r="B190" s="207" t="str">
        <f>IF(OR($C$45=1,$C$45=2,$C$45=3,'Datos de entrada'!$B$36=Ponderaciones!$G$49),VLOOKUP(B185,'Fichas técnicas Tecnologías'!$A$3:$K$10,3,FALSE),".")</f>
        <v>.</v>
      </c>
      <c r="C190" s="208"/>
    </row>
    <row r="191" spans="1:3" ht="108.75" customHeight="1" thickBot="1" x14ac:dyDescent="0.3">
      <c r="A191" s="122" t="str">
        <f>IF(OR($C$45=1,$C$45=2,$C$45=3,'Datos de entrada'!$B$36=Ponderaciones!$G$49), "Considerar",".")</f>
        <v>.</v>
      </c>
      <c r="B191" s="215" t="str">
        <f>IF(OR($C$45=1,$C$45=2,$C$45=3,'Datos de entrada'!$B$36=Ponderaciones!$G$49),VLOOKUP(B185,'Fichas técnicas Tecnologías'!$A$3:$K$10,4,FALSE),".")</f>
        <v>.</v>
      </c>
      <c r="C191" s="216"/>
    </row>
    <row r="192" spans="1:3" ht="39.75" customHeight="1" thickBot="1" x14ac:dyDescent="0.3">
      <c r="A192" s="190" t="str">
        <f>IF(OR($C$45=1,$C$45=2,$C$45=3,'Datos de entrada'!$B$36=Ponderaciones!$G$49),'Interpretación de Resultados'!A5,".")</f>
        <v>.</v>
      </c>
      <c r="B192" s="207" t="str">
        <f>IF(OR($C$45=1,$C$45=2,$C$45=3,'Datos de entrada'!$B$36=Ponderaciones!$G$49),VLOOKUP(B185,'Fichas técnicas Tecnologías'!$A$3:$K$10,5,FALSE),".")</f>
        <v>.</v>
      </c>
      <c r="C192" s="208"/>
    </row>
    <row r="193" spans="1:3" ht="153.75" customHeight="1" thickBot="1" x14ac:dyDescent="0.3">
      <c r="A193" s="122" t="str">
        <f>IF(OR($C$45=1,$C$45=2,$C$45=3,'Datos de entrada'!$B$36=Ponderaciones!$G$49), "Considerar",".")</f>
        <v>.</v>
      </c>
      <c r="B193" s="215" t="str">
        <f>IF(OR($C$45=1,$C$45=2,$C$45=3,'Datos de entrada'!$B$36=Ponderaciones!$G$49),VLOOKUP(B185,'Fichas técnicas Tecnologías'!$A$3:$K$10,6,FALSE),".")</f>
        <v>.</v>
      </c>
      <c r="C193" s="216"/>
    </row>
    <row r="194" spans="1:3" ht="39.75" customHeight="1" thickBot="1" x14ac:dyDescent="0.3">
      <c r="A194" s="190" t="str">
        <f>IF(OR($C$45=1,$C$45=2,$C$45=3,'Datos de entrada'!$B$36=Ponderaciones!$G$49),'Interpretación de Resultados'!A6,".")</f>
        <v>.</v>
      </c>
      <c r="B194" s="207" t="str">
        <f>IF(OR($C$45=1,$C$45=2,$C$45=3,'Datos de entrada'!$B$36=Ponderaciones!$G$49),VLOOKUP(B185,'Fichas técnicas Tecnologías'!$A$3:$K$10,7,FALSE),".")</f>
        <v>.</v>
      </c>
      <c r="C194" s="208"/>
    </row>
    <row r="195" spans="1:3" ht="100.5" customHeight="1" thickBot="1" x14ac:dyDescent="0.3">
      <c r="A195" s="122" t="str">
        <f>IF(OR($C$45=1,$C$45=2,$C$45=3,'Datos de entrada'!$B$36=Ponderaciones!$G$49), "Considerar",".")</f>
        <v>.</v>
      </c>
      <c r="B195" s="215" t="str">
        <f>IF(OR($C$45=1,$C$45=2,$C$45=3,'Datos de entrada'!$B$36=Ponderaciones!$G$49),VLOOKUP(B185,'Fichas técnicas Tecnologías'!$A$3:$K$10,8,FALSE),".")</f>
        <v>.</v>
      </c>
      <c r="C195" s="216"/>
    </row>
    <row r="196" spans="1:3" ht="47.25" customHeight="1" thickBot="1" x14ac:dyDescent="0.3">
      <c r="A196" s="190" t="str">
        <f>IF(OR($C$45=1,$C$45=2,$C$45=3,'Datos de entrada'!$B$36=Ponderaciones!$G$49),'Interpretación de Resultados'!A7,".")</f>
        <v>.</v>
      </c>
      <c r="B196" s="207" t="str">
        <f>IF(OR($C$45=1,$C$45=2,$C$45=3,'Datos de entrada'!$B$36=Ponderaciones!$G$49),VLOOKUP(B185,'Fichas técnicas Tecnologías'!$A$3:$K$10,11,FALSE),".")</f>
        <v>.</v>
      </c>
      <c r="C196" s="208"/>
    </row>
    <row r="197" spans="1:3" ht="259.5" customHeight="1" thickBot="1" x14ac:dyDescent="0.3">
      <c r="A197" s="122" t="str">
        <f>IF(OR($C$45=1,$C$45=2,$C$45=3,'Datos de entrada'!$B$36=Ponderaciones!$G$49), "Considerar",".")</f>
        <v>.</v>
      </c>
      <c r="B197" s="207" t="str">
        <f>IF(OR($C$45=1,$C$45=2,$C$45=3,'Datos de entrada'!$B$36=Ponderaciones!$G$49),VLOOKUP(B185,'Fichas técnicas Tecnologías'!$A$3:$N$10,12,FALSE)&amp;VLOOKUP(B185,'Fichas técnicas Tecnologías'!$A$3:$U$10,20,FALSE),".")</f>
        <v>.</v>
      </c>
      <c r="C197" s="208"/>
    </row>
    <row r="198" spans="1:3" ht="42" customHeight="1" thickBot="1" x14ac:dyDescent="0.3">
      <c r="A198" s="190" t="str">
        <f>IF(OR($C$45=1,$C$45=2,$C$45=3,'Datos de entrada'!$B$36=Ponderaciones!$G$49),'Interpretación de Resultados'!A8,".")</f>
        <v>.</v>
      </c>
      <c r="B198" s="211" t="str">
        <f>IF(OR($C$45=1,$C$45=2,$C$45=3,'Datos de entrada'!$B$36=Ponderaciones!$G$49),VLOOKUP(3,Cálculo!$B$156:$U$160,15,FALSE),".")</f>
        <v>.</v>
      </c>
      <c r="C198" s="212"/>
    </row>
    <row r="199" spans="1:3" ht="50.25" customHeight="1" thickBot="1" x14ac:dyDescent="0.3">
      <c r="A199" s="122" t="str">
        <f>IF(OR($C$45=1,$C$45=2,$C$45=3,'Datos de entrada'!$B$36=Ponderaciones!$G$49), "Considerar",".")</f>
        <v>.</v>
      </c>
      <c r="B199" s="207" t="str">
        <f>IF(OR($C$45=1,$C$45=2,$C$45=3,'Datos de entrada'!$B$36=Ponderaciones!$G$49),"La desviación de residuos se estima teniendo en cuenta la capacidad de la planta.",".")</f>
        <v>.</v>
      </c>
      <c r="C199" s="208"/>
    </row>
    <row r="200" spans="1:3" ht="81.75" customHeight="1" thickBot="1" x14ac:dyDescent="0.3">
      <c r="A200" s="190" t="str">
        <f>IF(OR($C$45=1,$C$45=2,$C$45=3,'Datos de entrada'!$B$36=Ponderaciones!$G$49),'Interpretación de Resultados'!A9,".")</f>
        <v>.</v>
      </c>
      <c r="B200" s="213" t="str">
        <f>IF(OR($C$45=1,$C$45=2,$C$45=3,'Datos de entrada'!$B$36=Ponderaciones!$G$49),VLOOKUP(3,Cálculo!$B$156:$U$160,19,FALSE),".")</f>
        <v>.</v>
      </c>
      <c r="C200" s="214"/>
    </row>
    <row r="201" spans="1:3" ht="169.5" customHeight="1" thickBot="1" x14ac:dyDescent="0.3">
      <c r="A201" s="122" t="str">
        <f>IF(OR($C$45=1,$C$45=2,$C$45=3,'Datos de entrada'!$B$36=Ponderaciones!$G$49), "Considerar",".")</f>
        <v>.</v>
      </c>
      <c r="B201" s="207" t="str">
        <f>IF(OR($C$45=1,$C$45=2,$C$45=3,'Datos de entrada'!$B$36=Ponderaciones!$G$49),IF('Datos de entrada'!$B$43=Ponderaciones!$D$77, _xlfn.CONCAT("Se recomienda implementar un sistema de extracción y aprovechamiento del biogás en el sitio de disposición final, ", "para tratar los Gases de Efecto Invernadero generados por la descomposición de la materia orgánica de los residuos allí dispuestos.",VLOOKUP(B185,'Fichas técnicas Tecnologías'!A:M,13,0)), IF('Datos de entrada'!$B$43=Ponderaciones!$D$78, _xlfn.CONCAT("Se recomienda implementar un sistema de aprovechamiento del biogás en el sitio de disposición final, ", "para tratar los Gases de Efecto Invernadero generados por la descomposición de la materia orgánica de los residuos allí dispuestos.",VLOOKUP(B185,'Fichas técnicas Tecnologías'!A:M,13,0)), "El sistema de extracción y aprovechamiento de biogás instalado en el relleno sanitario permite la reducción de Gases de Efecto Invernadero generados por la descomposición de materia orgánica de los residuos allí dispuestos."&amp;VLOOKUP(B185,'Fichas técnicas Tecnologías'!A:M,13,0))),".")</f>
        <v>.</v>
      </c>
      <c r="C201" s="208"/>
    </row>
    <row r="202" spans="1:3" x14ac:dyDescent="0.25">
      <c r="A202" s="98"/>
      <c r="C202" s="99"/>
    </row>
    <row r="203" spans="1:3" x14ac:dyDescent="0.25">
      <c r="A203" s="204" t="str">
        <f>IF(OR($C$45=1,$C$45=2,$C$45=3,'Datos de entrada'!$B$36=Ponderaciones!$G$49),"Costos de inversión",".")</f>
        <v>.</v>
      </c>
      <c r="B203" s="205"/>
      <c r="C203" s="206"/>
    </row>
    <row r="204" spans="1:3" ht="17.25" thickBot="1" x14ac:dyDescent="0.3">
      <c r="A204" s="98"/>
      <c r="C204" s="99"/>
    </row>
    <row r="205" spans="1:3" ht="22.5" customHeight="1" thickBot="1" x14ac:dyDescent="0.3">
      <c r="A205" s="202" t="str">
        <f>IF(OR($C$45=1,$C$45=2,$C$45=3,'Datos de entrada'!$B$36=Ponderaciones!$G$49),IF(Cálculo!A295&lt;&gt;0,Cálculo!A295,""),".")</f>
        <v>.</v>
      </c>
      <c r="B205" s="203"/>
      <c r="C205" s="104" t="str">
        <f>IF(OR($C$45=1,$C$45=2,$C$45=3,'Datos de entrada'!$B$36=Ponderaciones!$G$49),IF(Cálculo!B295&lt;&gt;0,Cálculo!B295,""),".")</f>
        <v>.</v>
      </c>
    </row>
    <row r="206" spans="1:3" ht="22.5" customHeight="1" thickBot="1" x14ac:dyDescent="0.3">
      <c r="A206" s="202" t="str">
        <f>IF(OR($C$45=1,$C$45=2,$C$45=3,'Datos de entrada'!$B$36=Ponderaciones!$G$49),IF(Cálculo!A296&lt;&gt;0,Cálculo!A296,""),".")</f>
        <v>.</v>
      </c>
      <c r="B206" s="203"/>
      <c r="C206" s="104" t="str">
        <f>IF(OR($C$45=1,$C$45=2,$C$45=3,'Datos de entrada'!$B$36=Ponderaciones!$G$49),IF(Cálculo!B296&lt;&gt;0,Cálculo!B296,""),".")</f>
        <v>.</v>
      </c>
    </row>
    <row r="207" spans="1:3" ht="22.5" customHeight="1" thickBot="1" x14ac:dyDescent="0.3">
      <c r="A207" s="202" t="str">
        <f>IF(OR($C$45=1,$C$45=2,$C$45=3,'Datos de entrada'!$B$36=Ponderaciones!$G$49),IF(Cálculo!A297&lt;&gt;0,Cálculo!A297,""),".")</f>
        <v>.</v>
      </c>
      <c r="B207" s="203"/>
      <c r="C207" s="104" t="str">
        <f>IF(OR($C$45=1,$C$45=2,$C$45=3,'Datos de entrada'!$B$36=Ponderaciones!$G$49),IF(Cálculo!B297&lt;&gt;0,Cálculo!B297,""),".")</f>
        <v>.</v>
      </c>
    </row>
    <row r="208" spans="1:3" ht="22.5" customHeight="1" thickBot="1" x14ac:dyDescent="0.3">
      <c r="A208" s="202" t="str">
        <f>IF(OR($C$45=1,$C$45=2,$C$45=3,'Datos de entrada'!$B$36=Ponderaciones!$G$49),IF(Cálculo!A298&lt;&gt;0,Cálculo!A298,""),".")</f>
        <v>.</v>
      </c>
      <c r="B208" s="203"/>
      <c r="C208" s="104" t="str">
        <f>IF(OR($C$45=1,$C$45=2,$C$45=3,'Datos de entrada'!$B$36=Ponderaciones!$G$49),IF(Cálculo!B298&lt;&gt;0,Cálculo!B298,""),".")</f>
        <v>.</v>
      </c>
    </row>
    <row r="209" spans="1:3" ht="22.5" customHeight="1" thickBot="1" x14ac:dyDescent="0.3">
      <c r="A209" s="202" t="str">
        <f>IF(OR($C$45=1,$C$45=2,$C$45=3,'Datos de entrada'!$B$36=Ponderaciones!$G$49),IF(Cálculo!A299&lt;&gt;0,Cálculo!A299,""),".")</f>
        <v>.</v>
      </c>
      <c r="B209" s="203"/>
      <c r="C209" s="104" t="str">
        <f>IF(OR($C$45=1,$C$45=2,$C$45=3,'Datos de entrada'!$B$36=Ponderaciones!$G$49),IF(Cálculo!B299&lt;&gt;0,Cálculo!B299,""),".")</f>
        <v>.</v>
      </c>
    </row>
    <row r="210" spans="1:3" ht="22.5" customHeight="1" thickBot="1" x14ac:dyDescent="0.3">
      <c r="A210" s="202" t="str">
        <f>IF(OR($C$45=1,$C$45=2,$C$45=3,'Datos de entrada'!$B$36=Ponderaciones!$G$49),IF(Cálculo!A300&lt;&gt;0,Cálculo!A300,""),".")</f>
        <v>.</v>
      </c>
      <c r="B210" s="203"/>
      <c r="C210" s="104" t="str">
        <f>IF(OR($C$45=1,$C$45=2,$C$45=3,'Datos de entrada'!$B$36=Ponderaciones!$G$49),IF(Cálculo!B300&lt;&gt;0,Cálculo!B300,""),".")</f>
        <v>.</v>
      </c>
    </row>
    <row r="211" spans="1:3" ht="22.5" customHeight="1" thickBot="1" x14ac:dyDescent="0.3">
      <c r="A211" s="202" t="str">
        <f>IF(OR($C$45=1,$C$45=2,$C$45=3,'Datos de entrada'!$B$36=Ponderaciones!$G$49),IF(Cálculo!A301&lt;&gt;0,Cálculo!A301,""),".")</f>
        <v>.</v>
      </c>
      <c r="B211" s="203"/>
      <c r="C211" s="104" t="str">
        <f>IF(OR($C$45=1,$C$45=2,$C$45=3,'Datos de entrada'!$B$36=Ponderaciones!$G$49),IF(Cálculo!B301&lt;&gt;0,Cálculo!B301,""),".")</f>
        <v>.</v>
      </c>
    </row>
    <row r="212" spans="1:3" ht="22.5" customHeight="1" thickBot="1" x14ac:dyDescent="0.3">
      <c r="A212" s="202" t="str">
        <f>IF(OR($C$45=1,$C$45=2,$C$45=3,'Datos de entrada'!$B$36=Ponderaciones!$G$49),IF(Cálculo!A302&lt;&gt;0,Cálculo!A302,""),".")</f>
        <v>.</v>
      </c>
      <c r="B212" s="203"/>
      <c r="C212" s="104" t="str">
        <f>IF(OR($C$45=1,$C$45=2,$C$45=3,'Datos de entrada'!$B$36=Ponderaciones!$G$49),IF(Cálculo!B302&lt;&gt;0,Cálculo!B302,""),".")</f>
        <v>.</v>
      </c>
    </row>
    <row r="213" spans="1:3" ht="22.5" customHeight="1" thickBot="1" x14ac:dyDescent="0.3">
      <c r="A213" s="202" t="str">
        <f>IF(OR($C$45=1,$C$45=2,$C$45=3,'Datos de entrada'!$B$36=Ponderaciones!$G$49),IF(Cálculo!A303&lt;&gt;0,Cálculo!A303,""),".")</f>
        <v>.</v>
      </c>
      <c r="B213" s="203"/>
      <c r="C213" s="104" t="str">
        <f>IF(OR($C$45=1,$C$45=2,$C$45=3,'Datos de entrada'!$B$36=Ponderaciones!$G$49),IF(Cálculo!B303&lt;&gt;0,Cálculo!B303,""),".")</f>
        <v>.</v>
      </c>
    </row>
    <row r="214" spans="1:3" ht="22.5" customHeight="1" thickBot="1" x14ac:dyDescent="0.3">
      <c r="A214" s="202" t="str">
        <f>IF(OR($C$45=1,$C$45=2,$C$45=3,'Datos de entrada'!$B$36=Ponderaciones!$G$49),IF(Cálculo!A304&lt;&gt;0,Cálculo!A304,""),".")</f>
        <v>.</v>
      </c>
      <c r="B214" s="203"/>
      <c r="C214" s="104" t="str">
        <f>IF(OR($C$45=1,$C$45=2,$C$45=3,'Datos de entrada'!$B$36=Ponderaciones!$G$49),IF(Cálculo!B304&lt;&gt;0,Cálculo!B304,""),".")</f>
        <v>.</v>
      </c>
    </row>
    <row r="215" spans="1:3" ht="22.5" customHeight="1" thickBot="1" x14ac:dyDescent="0.3">
      <c r="A215" s="202" t="str">
        <f>IF(OR($C$45=1,$C$45=2,$C$45=3,'Datos de entrada'!$B$36=Ponderaciones!$G$49),IF(Cálculo!A305&lt;&gt;0,Cálculo!A305,""),".")</f>
        <v>.</v>
      </c>
      <c r="B215" s="203"/>
      <c r="C215" s="104" t="str">
        <f>IF(OR($C$45=1,$C$45=2,$C$45=3,'Datos de entrada'!$B$36=Ponderaciones!$G$49),IF(Cálculo!B305&lt;&gt;0,Cálculo!B305,""),".")</f>
        <v>.</v>
      </c>
    </row>
    <row r="216" spans="1:3" ht="22.5" customHeight="1" thickBot="1" x14ac:dyDescent="0.3">
      <c r="A216" s="202" t="str">
        <f>IF(OR($C$45=1,$C$45=2,$C$45=3,'Datos de entrada'!$B$36=Ponderaciones!$G$49),IF(Cálculo!A306&lt;&gt;0,Cálculo!A306,""),".")</f>
        <v>.</v>
      </c>
      <c r="B216" s="203"/>
      <c r="C216" s="104" t="str">
        <f>IF(OR($C$45=1,$C$45=2,$C$45=3,'Datos de entrada'!$B$36=Ponderaciones!$G$49),IF(Cálculo!B306&lt;&gt;0,Cálculo!B306,""),".")</f>
        <v>.</v>
      </c>
    </row>
    <row r="217" spans="1:3" ht="22.5" customHeight="1" thickBot="1" x14ac:dyDescent="0.3">
      <c r="A217" s="202" t="str">
        <f>IF(OR($C$45=1,$C$45=2,$C$45=3,'Datos de entrada'!$B$36=Ponderaciones!$G$49),IF(Cálculo!A307&lt;&gt;0,Cálculo!A307,""),".")</f>
        <v>.</v>
      </c>
      <c r="B217" s="203"/>
      <c r="C217" s="104" t="str">
        <f>IF(OR($C$45=1,$C$45=2,$C$45=3,'Datos de entrada'!$B$36=Ponderaciones!$G$49),IF(Cálculo!B307&lt;&gt;0,Cálculo!B307,""),".")</f>
        <v>.</v>
      </c>
    </row>
    <row r="218" spans="1:3" ht="22.5" customHeight="1" thickBot="1" x14ac:dyDescent="0.3">
      <c r="A218" s="202" t="str">
        <f>IF(OR($C$45=1,$C$45=2,$C$45=3,'Datos de entrada'!$B$36=Ponderaciones!$G$49),IF(Cálculo!A308&lt;&gt;0,Cálculo!A308,""),".")</f>
        <v>.</v>
      </c>
      <c r="B218" s="203"/>
      <c r="C218" s="104" t="str">
        <f>IF(OR($C$45=1,$C$45=2,$C$45=3,'Datos de entrada'!$B$36=Ponderaciones!$G$49),IF(Cálculo!B308&lt;&gt;0,Cálculo!B308,""),".")</f>
        <v>.</v>
      </c>
    </row>
    <row r="219" spans="1:3" ht="22.5" customHeight="1" thickBot="1" x14ac:dyDescent="0.3">
      <c r="A219" s="202" t="str">
        <f>IF(OR($C$45=1,$C$45=2,$C$45=3,'Datos de entrada'!$B$36=Ponderaciones!$G$49),IF(Cálculo!A309&lt;&gt;0,Cálculo!A309,""),".")</f>
        <v>.</v>
      </c>
      <c r="B219" s="203"/>
      <c r="C219" s="104" t="str">
        <f>IF(OR($C$45=1,$C$45=2,$C$45=3,'Datos de entrada'!$B$36=Ponderaciones!$G$49),IF(Cálculo!B309&lt;&gt;0,Cálculo!B309,""),".")</f>
        <v>.</v>
      </c>
    </row>
    <row r="220" spans="1:3" ht="22.5" customHeight="1" thickBot="1" x14ac:dyDescent="0.3">
      <c r="A220" s="202" t="str">
        <f>IF(OR($C$45=1,$C$45=2,$C$45=3,'Datos de entrada'!$B$36=Ponderaciones!$G$49),IF(Cálculo!A310&lt;&gt;0,Cálculo!A310,""),".")</f>
        <v>.</v>
      </c>
      <c r="B220" s="203"/>
      <c r="C220" s="104" t="str">
        <f>IF(OR($C$45=1,$C$45=2,$C$45=3,'Datos de entrada'!$B$36=Ponderaciones!$G$49),IF(Cálculo!B310&lt;&gt;0,Cálculo!B310,""),".")</f>
        <v>.</v>
      </c>
    </row>
    <row r="221" spans="1:3" ht="22.5" customHeight="1" thickBot="1" x14ac:dyDescent="0.3">
      <c r="A221" s="202" t="str">
        <f>IF(OR($C$45=1,$C$45=2,$C$45=3,'Datos de entrada'!$B$36=Ponderaciones!$G$49),IF(Cálculo!A311&lt;&gt;0,Cálculo!A311,""),".")</f>
        <v>.</v>
      </c>
      <c r="B221" s="203"/>
      <c r="C221" s="104" t="str">
        <f>IF(OR($C$45=1,$C$45=2,$C$45=3,'Datos de entrada'!$B$36=Ponderaciones!$G$49),IF(Cálculo!B311&lt;&gt;0,Cálculo!B311,""),".")</f>
        <v>.</v>
      </c>
    </row>
    <row r="222" spans="1:3" x14ac:dyDescent="0.25">
      <c r="A222" s="98"/>
      <c r="C222" s="99"/>
    </row>
    <row r="223" spans="1:3" x14ac:dyDescent="0.25">
      <c r="A223" s="98"/>
      <c r="C223" s="99"/>
    </row>
    <row r="224" spans="1:3" x14ac:dyDescent="0.25">
      <c r="A224" s="98"/>
      <c r="C224" s="99"/>
    </row>
    <row r="225" spans="1:3" x14ac:dyDescent="0.25">
      <c r="A225" s="204" t="str">
        <f>IF(OR($C$45=1,$C$45=2,$C$45=3,'Datos de entrada'!$B$36=Ponderaciones!$G$49),"Costos de operación",".")</f>
        <v>.</v>
      </c>
      <c r="B225" s="205"/>
      <c r="C225" s="206"/>
    </row>
    <row r="226" spans="1:3" ht="17.25" thickBot="1" x14ac:dyDescent="0.3">
      <c r="A226" s="98"/>
      <c r="C226" s="99"/>
    </row>
    <row r="227" spans="1:3" ht="28.5" customHeight="1" thickBot="1" x14ac:dyDescent="0.3">
      <c r="A227" s="202" t="str">
        <f>IF(OR($C$45=1,$C$45=2,$C$45=3,'Datos de entrada'!$B$36=Ponderaciones!$G$49),IF(Cálculo!D295&lt;&gt;0,Cálculo!D295,""),".")</f>
        <v>.</v>
      </c>
      <c r="B227" s="203"/>
      <c r="C227" s="104" t="str">
        <f>IF(OR($C$45=1,$C$45=2,$C$45=3,'Datos de entrada'!$B$36=Ponderaciones!$G$49),IF(Cálculo!E295&lt;&gt;0,Cálculo!E295,""),".")</f>
        <v>.</v>
      </c>
    </row>
    <row r="228" spans="1:3" ht="28.5" customHeight="1" thickBot="1" x14ac:dyDescent="0.3">
      <c r="A228" s="202" t="str">
        <f>IF(OR($C$45=1,$C$45=2,$C$45=3,'Datos de entrada'!$B$36=Ponderaciones!$G$49),IF(Cálculo!D296&lt;&gt;0,Cálculo!D296,""),".")</f>
        <v>.</v>
      </c>
      <c r="B228" s="203"/>
      <c r="C228" s="104" t="str">
        <f>IF(OR($C$45=1,$C$45=2,$C$45=3,'Datos de entrada'!$B$36=Ponderaciones!$G$49),IF(Cálculo!E296&lt;&gt;0,Cálculo!E296,""),".")</f>
        <v>.</v>
      </c>
    </row>
    <row r="229" spans="1:3" ht="28.5" customHeight="1" thickBot="1" x14ac:dyDescent="0.3">
      <c r="A229" s="202" t="str">
        <f>IF(OR($C$45=1,$C$45=2,$C$45=3,'Datos de entrada'!$B$36=Ponderaciones!$G$49),IF(Cálculo!D297&lt;&gt;0,Cálculo!D297,""),".")</f>
        <v>.</v>
      </c>
      <c r="B229" s="203"/>
      <c r="C229" s="104" t="str">
        <f>IF(OR($C$45=1,$C$45=2,$C$45=3,'Datos de entrada'!$B$36=Ponderaciones!$G$49),IF(Cálculo!E297&lt;&gt;0,Cálculo!E297,""),".")</f>
        <v>.</v>
      </c>
    </row>
    <row r="230" spans="1:3" ht="28.5" customHeight="1" thickBot="1" x14ac:dyDescent="0.3">
      <c r="A230" s="202" t="str">
        <f>IF(OR($C$45=1,$C$45=2,$C$45=3,'Datos de entrada'!$B$36=Ponderaciones!$G$49),IF(Cálculo!D298&lt;&gt;0,Cálculo!D298,""),".")</f>
        <v>.</v>
      </c>
      <c r="B230" s="203"/>
      <c r="C230" s="104" t="str">
        <f>IF(OR($C$45=1,$C$45=2,$C$45=3,'Datos de entrada'!$B$36=Ponderaciones!$G$49),IF(Cálculo!E298&lt;&gt;0,Cálculo!E298,""),".")</f>
        <v>.</v>
      </c>
    </row>
    <row r="231" spans="1:3" ht="28.5" customHeight="1" thickBot="1" x14ac:dyDescent="0.3">
      <c r="A231" s="202" t="str">
        <f>IF(OR($C$45=1,$C$45=2,$C$45=3,'Datos de entrada'!$B$36=Ponderaciones!$G$49),IF(Cálculo!D299&lt;&gt;0,Cálculo!D299,""),".")</f>
        <v>.</v>
      </c>
      <c r="B231" s="203"/>
      <c r="C231" s="104" t="str">
        <f>IF(OR($C$45=1,$C$45=2,$C$45=3,'Datos de entrada'!$B$36=Ponderaciones!$G$49),IF(Cálculo!E299&lt;&gt;0,Cálculo!E299,""),".")</f>
        <v>.</v>
      </c>
    </row>
    <row r="232" spans="1:3" ht="28.5" customHeight="1" thickBot="1" x14ac:dyDescent="0.3">
      <c r="A232" s="202" t="str">
        <f>IF(OR($C$45=1,$C$45=2,$C$45=3,'Datos de entrada'!$B$36=Ponderaciones!$G$49),IF(Cálculo!D300&lt;&gt;0,Cálculo!D300,""),".")</f>
        <v>.</v>
      </c>
      <c r="B232" s="203"/>
      <c r="C232" s="104" t="str">
        <f>IF(OR($C$45=1,$C$45=2,$C$45=3,'Datos de entrada'!$B$36=Ponderaciones!$G$49),IF(Cálculo!E300&lt;&gt;0,Cálculo!E300,""),".")</f>
        <v>.</v>
      </c>
    </row>
    <row r="233" spans="1:3" ht="28.5" customHeight="1" thickBot="1" x14ac:dyDescent="0.3">
      <c r="A233" s="202" t="str">
        <f>IF(OR($C$45=1,$C$45=2,$C$45=3,'Datos de entrada'!$B$36=Ponderaciones!$G$49),IF(Cálculo!D301&lt;&gt;0,Cálculo!D301,""),".")</f>
        <v>.</v>
      </c>
      <c r="B233" s="203"/>
      <c r="C233" s="104" t="str">
        <f>IF(OR($C$45=1,$C$45=2,$C$45=3,'Datos de entrada'!$B$36=Ponderaciones!$G$49),IF(Cálculo!E301&lt;&gt;0,Cálculo!E301,""),".")</f>
        <v>.</v>
      </c>
    </row>
    <row r="234" spans="1:3" ht="28.5" customHeight="1" thickBot="1" x14ac:dyDescent="0.3">
      <c r="A234" s="202" t="str">
        <f>IF(OR($C$45=1,$C$45=2,$C$45=3,'Datos de entrada'!$B$36=Ponderaciones!$G$49),IF(Cálculo!D302&lt;&gt;0,Cálculo!D302,""),".")</f>
        <v>.</v>
      </c>
      <c r="B234" s="203"/>
      <c r="C234" s="104" t="str">
        <f>IF(OR($C$45=1,$C$45=2,$C$45=3,'Datos de entrada'!$B$36=Ponderaciones!$G$49),IF(Cálculo!E302&lt;&gt;0,Cálculo!E302,""),".")</f>
        <v>.</v>
      </c>
    </row>
    <row r="235" spans="1:3" ht="28.5" customHeight="1" thickBot="1" x14ac:dyDescent="0.3">
      <c r="A235" s="202" t="str">
        <f>IF(OR($C$45=1,$C$45=2,$C$45=3,'Datos de entrada'!$B$36=Ponderaciones!$G$49),IF(Cálculo!D303&lt;&gt;0,Cálculo!D303,""),".")</f>
        <v>.</v>
      </c>
      <c r="B235" s="203"/>
      <c r="C235" s="104" t="str">
        <f>IF(OR($C$45=1,$C$45=2,$C$45=3,'Datos de entrada'!$B$36=Ponderaciones!$G$49),IF(Cálculo!E303&lt;&gt;0,Cálculo!E303,""),".")</f>
        <v>.</v>
      </c>
    </row>
    <row r="236" spans="1:3" ht="28.5" customHeight="1" thickBot="1" x14ac:dyDescent="0.3">
      <c r="A236" s="202" t="str">
        <f>IF(OR($C$45=1,$C$45=2,$C$45=3,'Datos de entrada'!$B$36=Ponderaciones!$G$49),IF(Cálculo!D304&lt;&gt;0,Cálculo!D304,""),".")</f>
        <v>.</v>
      </c>
      <c r="B236" s="203"/>
      <c r="C236" s="104" t="str">
        <f>IF(OR($C$45=1,$C$45=2,$C$45=3,'Datos de entrada'!$B$36=Ponderaciones!$G$49),IF(Cálculo!E304&lt;&gt;0,Cálculo!E304,""),".")</f>
        <v>.</v>
      </c>
    </row>
    <row r="237" spans="1:3" ht="28.5" customHeight="1" thickBot="1" x14ac:dyDescent="0.3">
      <c r="A237" s="202" t="str">
        <f>IF(OR($C$45=1,$C$45=2,$C$45=3,'Datos de entrada'!$B$36=Ponderaciones!$G$49),IF(Cálculo!D305&lt;&gt;0,Cálculo!D305,""),".")</f>
        <v>.</v>
      </c>
      <c r="B237" s="203"/>
      <c r="C237" s="104" t="str">
        <f>IF(OR($C$45=1,$C$45=2,$C$45=3,'Datos de entrada'!$B$36=Ponderaciones!$G$49),IF(Cálculo!E305&lt;&gt;0,Cálculo!E305,""),".")</f>
        <v>.</v>
      </c>
    </row>
    <row r="238" spans="1:3" x14ac:dyDescent="0.25">
      <c r="A238" s="98"/>
      <c r="C238" s="99"/>
    </row>
    <row r="239" spans="1:3" x14ac:dyDescent="0.25">
      <c r="A239" s="204" t="str">
        <f>IF(OR($C$45=1,$C$45=2,$C$45=3,'Datos de entrada'!$B$36=Ponderaciones!$G$49),"Ingresos",".")</f>
        <v>.</v>
      </c>
      <c r="B239" s="205"/>
      <c r="C239" s="206"/>
    </row>
    <row r="240" spans="1:3" ht="17.25" thickBot="1" x14ac:dyDescent="0.3">
      <c r="A240" s="98"/>
      <c r="C240" s="99"/>
    </row>
    <row r="241" spans="1:3" ht="30.75" customHeight="1" thickBot="1" x14ac:dyDescent="0.3">
      <c r="A241" s="202" t="str">
        <f>IF(OR($C$45=1,$C$45=2,$C$45=3,'Datos de entrada'!$B$36=Ponderaciones!$G$49),Cálculo!G294,".")</f>
        <v>.</v>
      </c>
      <c r="B241" s="203"/>
      <c r="C241" s="104" t="str">
        <f>IF(OR($C$45=1,$C$45=2,$C$45=3,'Datos de entrada'!$B$36=Ponderaciones!$G$49),Cálculo!H294,".")</f>
        <v>.</v>
      </c>
    </row>
    <row r="242" spans="1:3" x14ac:dyDescent="0.25">
      <c r="A242" s="98"/>
      <c r="C242" s="99"/>
    </row>
    <row r="243" spans="1:3" x14ac:dyDescent="0.25">
      <c r="A243" s="227" t="str">
        <f>IF(OR($C$45=1,$C$45=2,$C$45=3,'Datos de entrada'!$B$36=Ponderaciones!$G$49),"MEDIDAS A IMPLEMENTAR SEGÚN EL ESCENARIO","")</f>
        <v/>
      </c>
      <c r="B243" s="228"/>
      <c r="C243" s="229"/>
    </row>
    <row r="244" spans="1:3" x14ac:dyDescent="0.25">
      <c r="A244" s="227"/>
      <c r="B244" s="228"/>
      <c r="C244" s="229"/>
    </row>
    <row r="245" spans="1:3" x14ac:dyDescent="0.25">
      <c r="A245" s="98"/>
      <c r="C245" s="99"/>
    </row>
    <row r="246" spans="1:3" ht="82.5" customHeight="1" x14ac:dyDescent="0.25">
      <c r="A246" s="217" t="str">
        <f>IF(OR($C$45=1,$C$45=2,$C$45=3,'Datos de entrada'!$B$36=Ponderaciones!$G$49),"Aquí se presentan medidas generales para el escenario identificado por el modelo. Para garantizar el éxito de un proyecto de tratamiento de residuos sólidos se deben aplicar aquellas medidas con las que no se cuente en la actualidad. ","")</f>
        <v/>
      </c>
      <c r="B246" s="218"/>
      <c r="C246" s="219"/>
    </row>
    <row r="247" spans="1:3" x14ac:dyDescent="0.25">
      <c r="A247" s="98"/>
      <c r="C247" s="99"/>
    </row>
    <row r="248" spans="1:3" x14ac:dyDescent="0.25">
      <c r="A248" s="248" t="str">
        <f>IF(OR($C$45=1,$C$45=2,$C$45=3,'Datos de entrada'!$B$36=Ponderaciones!$G$49),"Se recomienda aplicar las siguientes medidas","")</f>
        <v/>
      </c>
      <c r="B248" s="249"/>
      <c r="C248" s="250"/>
    </row>
    <row r="249" spans="1:3" x14ac:dyDescent="0.25">
      <c r="A249" s="98"/>
      <c r="C249" s="99"/>
    </row>
    <row r="250" spans="1:3" x14ac:dyDescent="0.25">
      <c r="A250" s="251" t="str">
        <f>IF(OR($C$45=1,$C$45=2,$C$45=3,'Datos de entrada'!$B$36=Ponderaciones!$G$49),Cálculo!$B$146,"")</f>
        <v/>
      </c>
      <c r="B250" s="252"/>
      <c r="C250" s="253"/>
    </row>
    <row r="251" spans="1:3" x14ac:dyDescent="0.25">
      <c r="A251" s="251"/>
      <c r="B251" s="252"/>
      <c r="C251" s="253"/>
    </row>
    <row r="252" spans="1:3" x14ac:dyDescent="0.25">
      <c r="A252" s="251"/>
      <c r="B252" s="252"/>
      <c r="C252" s="253"/>
    </row>
    <row r="253" spans="1:3" x14ac:dyDescent="0.25">
      <c r="A253" s="251"/>
      <c r="B253" s="252"/>
      <c r="C253" s="253"/>
    </row>
    <row r="254" spans="1:3" x14ac:dyDescent="0.25">
      <c r="A254" s="251"/>
      <c r="B254" s="252"/>
      <c r="C254" s="253"/>
    </row>
    <row r="255" spans="1:3" x14ac:dyDescent="0.25">
      <c r="A255" s="251"/>
      <c r="B255" s="252"/>
      <c r="C255" s="253"/>
    </row>
    <row r="256" spans="1:3" x14ac:dyDescent="0.25">
      <c r="A256" s="251"/>
      <c r="B256" s="252"/>
      <c r="C256" s="253"/>
    </row>
    <row r="257" spans="1:3" x14ac:dyDescent="0.25">
      <c r="A257" s="251"/>
      <c r="B257" s="252"/>
      <c r="C257" s="253"/>
    </row>
    <row r="258" spans="1:3" x14ac:dyDescent="0.25">
      <c r="A258" s="251"/>
      <c r="B258" s="252"/>
      <c r="C258" s="253"/>
    </row>
    <row r="259" spans="1:3" x14ac:dyDescent="0.25">
      <c r="A259" s="251"/>
      <c r="B259" s="252"/>
      <c r="C259" s="253"/>
    </row>
    <row r="260" spans="1:3" x14ac:dyDescent="0.25">
      <c r="A260" s="251"/>
      <c r="B260" s="252"/>
      <c r="C260" s="253"/>
    </row>
    <row r="261" spans="1:3" x14ac:dyDescent="0.25">
      <c r="A261" s="251"/>
      <c r="B261" s="252"/>
      <c r="C261" s="253"/>
    </row>
    <row r="262" spans="1:3" x14ac:dyDescent="0.25">
      <c r="A262" s="251"/>
      <c r="B262" s="252"/>
      <c r="C262" s="253"/>
    </row>
    <row r="263" spans="1:3" x14ac:dyDescent="0.25">
      <c r="A263" s="251"/>
      <c r="B263" s="252"/>
      <c r="C263" s="253"/>
    </row>
    <row r="264" spans="1:3" x14ac:dyDescent="0.25">
      <c r="A264" s="251"/>
      <c r="B264" s="252"/>
      <c r="C264" s="253"/>
    </row>
    <row r="265" spans="1:3" x14ac:dyDescent="0.25">
      <c r="A265" s="251"/>
      <c r="B265" s="252"/>
      <c r="C265" s="253"/>
    </row>
    <row r="266" spans="1:3" x14ac:dyDescent="0.25">
      <c r="A266" s="251"/>
      <c r="B266" s="252"/>
      <c r="C266" s="253"/>
    </row>
    <row r="267" spans="1:3" x14ac:dyDescent="0.25">
      <c r="A267" s="251"/>
      <c r="B267" s="252"/>
      <c r="C267" s="253"/>
    </row>
    <row r="268" spans="1:3" x14ac:dyDescent="0.25">
      <c r="A268" s="251"/>
      <c r="B268" s="252"/>
      <c r="C268" s="253"/>
    </row>
    <row r="269" spans="1:3" x14ac:dyDescent="0.25">
      <c r="A269" s="98"/>
      <c r="C269" s="99"/>
    </row>
    <row r="270" spans="1:3" ht="66.75" customHeight="1" x14ac:dyDescent="0.25">
      <c r="A270" s="245" t="str">
        <f>IF(OR($C$45=1,$C$45=2,$C$45=3,'Datos de entrada'!$B$36=Ponderaciones!$G$49),"Es importante tener en cuenta que las medidas descritas anteriormente son de carácter general para los diferentes escenarios analizados y "&amp; "sirven para fortalecer las condiciones que permiten una adecuada implementación de proyectos de tratamiento de residuos sólidos.","")</f>
        <v/>
      </c>
      <c r="B270" s="246"/>
      <c r="C270" s="247"/>
    </row>
    <row r="271" spans="1:3" x14ac:dyDescent="0.25">
      <c r="A271" s="142"/>
      <c r="B271" s="143"/>
      <c r="C271" s="144"/>
    </row>
    <row r="272" spans="1:3" ht="63" hidden="1" customHeight="1" x14ac:dyDescent="0.25">
      <c r="A272" s="245"/>
      <c r="B272" s="246"/>
      <c r="C272" s="247"/>
    </row>
    <row r="273" spans="1:3" ht="10.5" hidden="1" customHeight="1" x14ac:dyDescent="0.25">
      <c r="A273" s="142"/>
      <c r="B273" s="143"/>
      <c r="C273" s="147"/>
    </row>
    <row r="274" spans="1:3" ht="70.5" hidden="1" customHeight="1" x14ac:dyDescent="0.25">
      <c r="A274" s="245"/>
      <c r="B274" s="246"/>
      <c r="C274" s="247"/>
    </row>
    <row r="275" spans="1:3" hidden="1" x14ac:dyDescent="0.25">
      <c r="A275" s="98"/>
      <c r="C275" s="99"/>
    </row>
    <row r="276" spans="1:3" hidden="1" x14ac:dyDescent="0.25">
      <c r="A276" s="98"/>
      <c r="C276" s="99"/>
    </row>
    <row r="277" spans="1:3" hidden="1" x14ac:dyDescent="0.25">
      <c r="A277" s="98"/>
      <c r="C277" s="99"/>
    </row>
    <row r="278" spans="1:3" hidden="1" x14ac:dyDescent="0.25">
      <c r="A278" s="98"/>
      <c r="C278" s="99"/>
    </row>
    <row r="279" spans="1:3" hidden="1" x14ac:dyDescent="0.25">
      <c r="A279" s="98"/>
      <c r="C279" s="99"/>
    </row>
    <row r="280" spans="1:3" x14ac:dyDescent="0.25">
      <c r="A280" s="105"/>
      <c r="B280" s="106"/>
      <c r="C280" s="107"/>
    </row>
    <row r="281" spans="1:3" x14ac:dyDescent="0.25"/>
    <row r="282" spans="1:3" ht="21.75" customHeight="1" x14ac:dyDescent="0.25"/>
    <row r="283" spans="1:3" s="173" customFormat="1" ht="5.25" hidden="1" customHeight="1" x14ac:dyDescent="0.25">
      <c r="A283" s="173" t="str">
        <f>+'Datos de entrada'!E13</f>
        <v>0</v>
      </c>
      <c r="B283" s="173" t="s">
        <v>120</v>
      </c>
      <c r="C283" s="173">
        <f>+IF(Cálculo!B128&lt;Valoración!B3,0,1)</f>
        <v>0</v>
      </c>
    </row>
    <row r="284" spans="1:3" ht="22.5" hidden="1" customHeight="1" x14ac:dyDescent="0.25">
      <c r="A284" s="220" t="s">
        <v>121</v>
      </c>
      <c r="B284" s="221"/>
      <c r="C284" s="222"/>
    </row>
    <row r="285" spans="1:3" hidden="1" x14ac:dyDescent="0.25">
      <c r="A285" s="220"/>
      <c r="B285" s="221"/>
      <c r="C285" s="222"/>
    </row>
    <row r="287" spans="1:3" ht="46.5" hidden="1" customHeight="1" x14ac:dyDescent="0.25">
      <c r="A287" s="223" t="str">
        <f>+IF(C283=1," Basado en la cantidad de residuos a tratar se considera viable llevar a cabo un proyecto de tratamiento","Con base en la cantidad de residuos a tratar se considera inviable llevar a cabo un proyecto de tratamiento")</f>
        <v>Con base en la cantidad de residuos a tratar se considera inviable llevar a cabo un proyecto de tratamiento</v>
      </c>
      <c r="B287" s="224"/>
      <c r="C287" s="225"/>
    </row>
    <row r="288" spans="1:3" ht="17.25" hidden="1" thickBot="1" x14ac:dyDescent="0.3"/>
    <row r="289" spans="1:3" ht="17.25" hidden="1" thickBot="1" x14ac:dyDescent="0.3">
      <c r="A289" s="100" t="s">
        <v>93</v>
      </c>
      <c r="B289" s="134"/>
      <c r="C289" s="135" t="s">
        <v>95</v>
      </c>
    </row>
    <row r="290" spans="1:3" ht="33.75" hidden="1" thickBot="1" x14ac:dyDescent="0.3">
      <c r="A290" s="101" t="s">
        <v>96</v>
      </c>
      <c r="B290" s="136" t="s">
        <v>122</v>
      </c>
      <c r="C290" s="132" t="s">
        <v>123</v>
      </c>
    </row>
    <row r="291" spans="1:3" ht="83.25" hidden="1" thickBot="1" x14ac:dyDescent="0.3">
      <c r="A291" s="101" t="s">
        <v>124</v>
      </c>
      <c r="B291" s="136" t="s">
        <v>125</v>
      </c>
      <c r="C291" s="170" t="str">
        <f>IF('Datos de entrada'!B12+'Datos de entrada'!B14=0,"Se debe indicar en los datos de entrada la cantidad de residuos provenientes de la actividad de poda y corte de cesped, y de plazas de mercado",'Datos de entrada'!B12+'Datos de entrada'!B14)</f>
        <v>Se debe indicar en los datos de entrada la cantidad de residuos provenientes de la actividad de poda y corte de cesped, y de plazas de mercado</v>
      </c>
    </row>
    <row r="292" spans="1:3" ht="17.25" hidden="1" thickBot="1" x14ac:dyDescent="0.3"/>
    <row r="293" spans="1:3" ht="64.5" hidden="1" customHeight="1" thickBot="1" x14ac:dyDescent="0.3">
      <c r="A293" s="122" t="str">
        <f>IF(OR($C$45=1,$C$45=2,$C$45=3,'Datos de entrada'!$B$36=Ponderaciones!$G$49), "Recomendaciones",".")</f>
        <v>.</v>
      </c>
      <c r="B293" s="207" t="str">
        <f>IF(OR($C$45=1,$C$45=2,$C$45=3,'Datos de entrada'!$B$36=Ponderaciones!$G$49),"Realice el estudio de mercado sobre la comercializacion del compost y su certificación ante el ICA. Evalue tratar adicionalmente residuos organicos separados en fuente siempre y cuando cuente con los controles necesarios para evitar su contaminación","")</f>
        <v/>
      </c>
      <c r="C293" s="208"/>
    </row>
    <row r="295" spans="1:3" ht="17.25" hidden="1" thickBot="1" x14ac:dyDescent="0.3"/>
    <row r="296" spans="1:3" ht="33.75" hidden="1" thickBot="1" x14ac:dyDescent="0.3">
      <c r="A296" s="103" t="s">
        <v>126</v>
      </c>
      <c r="B296" s="209" t="str">
        <f>+Valoración!A3</f>
        <v>Compostaje en pilas con volteo manual</v>
      </c>
      <c r="C296" s="210"/>
    </row>
    <row r="297" spans="1:3" hidden="1" x14ac:dyDescent="0.25">
      <c r="A297" s="98"/>
      <c r="C297" s="99"/>
    </row>
    <row r="298" spans="1:3" hidden="1" x14ac:dyDescent="0.25">
      <c r="A298" s="204"/>
      <c r="B298" s="205"/>
      <c r="C298" s="206"/>
    </row>
    <row r="299" spans="1:3" ht="17.25" hidden="1" thickBot="1" x14ac:dyDescent="0.3">
      <c r="A299" s="98"/>
      <c r="C299" s="99"/>
    </row>
    <row r="300" spans="1:3" ht="30.75" hidden="1" customHeight="1" thickBot="1" x14ac:dyDescent="0.3">
      <c r="A300" s="202" t="str">
        <f>+'Costos de inversión'!C4</f>
        <v>Pre-inversión</v>
      </c>
      <c r="B300" s="203"/>
      <c r="C300" s="104">
        <f>+'Costos de inversión'!P4</f>
        <v>0</v>
      </c>
    </row>
    <row r="301" spans="1:3" ht="30.75" hidden="1" customHeight="1" thickBot="1" x14ac:dyDescent="0.3">
      <c r="A301" s="202" t="str">
        <f>+'Costos de inversión'!C5</f>
        <v xml:space="preserve">   Estudios, Diseños </v>
      </c>
      <c r="B301" s="203"/>
      <c r="C301" s="104">
        <f>+'Costos de inversión'!P5</f>
        <v>374000000</v>
      </c>
    </row>
    <row r="302" spans="1:3" ht="30.75" hidden="1" customHeight="1" thickBot="1" x14ac:dyDescent="0.3">
      <c r="A302" s="202" t="str">
        <f>+'Costos de inversión'!C6</f>
        <v xml:space="preserve">   Permisos</v>
      </c>
      <c r="B302" s="203"/>
      <c r="C302" s="104">
        <f>+'Costos de inversión'!P6</f>
        <v>86000000</v>
      </c>
    </row>
    <row r="303" spans="1:3" ht="30.75" hidden="1" customHeight="1" thickBot="1" x14ac:dyDescent="0.3">
      <c r="A303" s="202" t="str">
        <f>+'Costos de inversión'!C7</f>
        <v>Infraestructura</v>
      </c>
      <c r="B303" s="203"/>
      <c r="C303" s="104">
        <f>+'Costos de inversión'!P7</f>
        <v>17422000000</v>
      </c>
    </row>
    <row r="304" spans="1:3" ht="30.75" hidden="1" customHeight="1" thickBot="1" x14ac:dyDescent="0.3">
      <c r="A304" s="202" t="str">
        <f>+'Costos de inversión'!C8</f>
        <v>Maquinaria y Equipos (incluido el costo de instalación)</v>
      </c>
      <c r="B304" s="203"/>
      <c r="C304" s="104">
        <f>+'Costos de inversión'!P8</f>
        <v>0</v>
      </c>
    </row>
    <row r="305" spans="1:3" ht="30.75" hidden="1" customHeight="1" thickBot="1" x14ac:dyDescent="0.3">
      <c r="A305" s="202" t="str">
        <f>+'Costos de inversión'!C9</f>
        <v xml:space="preserve">   Trommel</v>
      </c>
      <c r="B305" s="203"/>
      <c r="C305" s="104">
        <f>+'Costos de inversión'!P9</f>
        <v>576000000</v>
      </c>
    </row>
    <row r="306" spans="1:3" ht="30.75" hidden="1" customHeight="1" thickBot="1" x14ac:dyDescent="0.3">
      <c r="A306" s="202" t="str">
        <f>+'Costos de inversión'!C10</f>
        <v xml:space="preserve">   Minicargador</v>
      </c>
      <c r="B306" s="203"/>
      <c r="C306" s="104">
        <f>+'Costos de inversión'!P10</f>
        <v>488689705</v>
      </c>
    </row>
    <row r="307" spans="1:3" ht="30.75" hidden="1" customHeight="1" thickBot="1" x14ac:dyDescent="0.3">
      <c r="A307" s="202" t="str">
        <f>+'Costos de inversión'!C11</f>
        <v xml:space="preserve">   Tractor</v>
      </c>
      <c r="B307" s="203"/>
      <c r="C307" s="104">
        <f>+'Costos de inversión'!P11</f>
        <v>488689705</v>
      </c>
    </row>
    <row r="308" spans="1:3" ht="30.75" hidden="1" customHeight="1" thickBot="1" x14ac:dyDescent="0.3">
      <c r="A308" s="202" t="str">
        <f>+'Costos de inversión'!C12</f>
        <v xml:space="preserve">   Retroexcavadora</v>
      </c>
      <c r="B308" s="203"/>
      <c r="C308" s="104">
        <f>+'Costos de inversión'!P12</f>
        <v>425970171</v>
      </c>
    </row>
    <row r="309" spans="1:3" ht="30.75" hidden="1" customHeight="1" thickBot="1" x14ac:dyDescent="0.3">
      <c r="A309" s="202" t="str">
        <f>+'Costos de inversión'!C13</f>
        <v xml:space="preserve">   Montacargas</v>
      </c>
      <c r="B309" s="203"/>
      <c r="C309" s="104">
        <f>+'Costos de inversión'!P13</f>
        <v>303144416</v>
      </c>
    </row>
    <row r="310" spans="1:3" ht="30.75" hidden="1" customHeight="1" thickBot="1" x14ac:dyDescent="0.3">
      <c r="A310" s="202" t="str">
        <f>+'Costos de inversión'!C14</f>
        <v xml:space="preserve">   Planta electrica</v>
      </c>
      <c r="B310" s="203"/>
      <c r="C310" s="104">
        <f>+'Costos de inversión'!P14</f>
        <v>287464532</v>
      </c>
    </row>
    <row r="311" spans="1:3" ht="30.75" hidden="1" customHeight="1" thickBot="1" x14ac:dyDescent="0.3">
      <c r="A311" s="202" t="str">
        <f>+'Costos de inversión'!C15</f>
        <v xml:space="preserve">   Compresor</v>
      </c>
      <c r="B311" s="203"/>
      <c r="C311" s="104">
        <f>+'Costos de inversión'!P15</f>
        <v>70559476</v>
      </c>
    </row>
    <row r="312" spans="1:3" ht="30.75" hidden="1" customHeight="1" thickBot="1" x14ac:dyDescent="0.3">
      <c r="A312" s="202" t="str">
        <f>+'Costos de inversión'!C16</f>
        <v xml:space="preserve">   Volqueta</v>
      </c>
      <c r="B312" s="203"/>
      <c r="C312" s="104">
        <f>+'Costos de inversión'!P16</f>
        <v>862393598</v>
      </c>
    </row>
    <row r="313" spans="1:3" ht="30.75" hidden="1" customHeight="1" thickBot="1" x14ac:dyDescent="0.3">
      <c r="A313" s="202" t="str">
        <f>+'Costos de inversión'!C17</f>
        <v>Total Costo de Inversión Inicial</v>
      </c>
      <c r="B313" s="203"/>
      <c r="C313" s="104">
        <f>+'Costos de inversión'!P17</f>
        <v>21384911603</v>
      </c>
    </row>
    <row r="314" spans="1:3" hidden="1" x14ac:dyDescent="0.25">
      <c r="A314" s="98"/>
      <c r="C314" s="99"/>
    </row>
    <row r="315" spans="1:3" hidden="1" x14ac:dyDescent="0.25">
      <c r="A315" s="204" t="str">
        <f>IF(OR($C$45=1,$C$45=2,$C$45=3,'Datos de entrada'!$B$36=Ponderaciones!$G$49),"Costos de operación",".")</f>
        <v>.</v>
      </c>
      <c r="B315" s="205"/>
      <c r="C315" s="206"/>
    </row>
    <row r="316" spans="1:3" ht="17.25" hidden="1" thickBot="1" x14ac:dyDescent="0.3">
      <c r="A316" s="98"/>
      <c r="C316" s="99"/>
    </row>
    <row r="317" spans="1:3" ht="38.25" hidden="1" customHeight="1" thickBot="1" x14ac:dyDescent="0.3">
      <c r="A317" s="202" t="str">
        <f>+'Costos de operación'!C4</f>
        <v>Energia</v>
      </c>
      <c r="B317" s="203"/>
      <c r="C317" s="104">
        <f>+'Costos de operación'!P4</f>
        <v>273000000</v>
      </c>
    </row>
    <row r="318" spans="1:3" ht="38.25" hidden="1" customHeight="1" thickBot="1" x14ac:dyDescent="0.3">
      <c r="A318" s="202" t="str">
        <f>+'Costos de operación'!C5</f>
        <v>Combustible</v>
      </c>
      <c r="B318" s="203"/>
      <c r="C318" s="104">
        <f>+'Costos de operación'!P5</f>
        <v>1054000000</v>
      </c>
    </row>
    <row r="319" spans="1:3" ht="38.25" hidden="1" customHeight="1" thickBot="1" x14ac:dyDescent="0.3">
      <c r="A319" s="202" t="str">
        <f>+'Costos de operación'!C6</f>
        <v xml:space="preserve">Agua </v>
      </c>
      <c r="B319" s="203"/>
      <c r="C319" s="104">
        <f>+'Costos de operación'!P6</f>
        <v>33000000</v>
      </c>
    </row>
    <row r="320" spans="1:3" ht="38.25" hidden="1" customHeight="1" thickBot="1" x14ac:dyDescent="0.3">
      <c r="A320" s="202" t="str">
        <f>+'Costos de operación'!C7</f>
        <v>Tratamiento RSO</v>
      </c>
      <c r="B320" s="203"/>
      <c r="C320" s="104">
        <f>+'Costos de operación'!P7</f>
        <v>3528000000</v>
      </c>
    </row>
    <row r="321" spans="1:3" ht="38.25" hidden="1" customHeight="1" thickBot="1" x14ac:dyDescent="0.3">
      <c r="A321" s="202" t="str">
        <f>+'Costos de operación'!C8</f>
        <v xml:space="preserve">Monitoreo Ambiental </v>
      </c>
      <c r="B321" s="203"/>
      <c r="C321" s="104">
        <f>+'Costos de operación'!P8</f>
        <v>19000000</v>
      </c>
    </row>
    <row r="322" spans="1:3" ht="38.25" hidden="1" customHeight="1" thickBot="1" x14ac:dyDescent="0.3">
      <c r="A322" s="202" t="str">
        <f>+'Costos de operación'!C9</f>
        <v xml:space="preserve">Mantenimiento - Maquinaria y equipos </v>
      </c>
      <c r="B322" s="203"/>
      <c r="C322" s="104">
        <f>+'Costos de operación'!P9</f>
        <v>133000000</v>
      </c>
    </row>
    <row r="323" spans="1:3" ht="38.25" hidden="1" customHeight="1" thickBot="1" x14ac:dyDescent="0.3">
      <c r="A323" s="202" t="str">
        <f>+'Costos de operación'!C10</f>
        <v xml:space="preserve">Mantenimiento - Infraestructura </v>
      </c>
      <c r="B323" s="203"/>
      <c r="C323" s="104">
        <f>+'Costos de operación'!P10</f>
        <v>157000000</v>
      </c>
    </row>
    <row r="324" spans="1:3" ht="38.25" hidden="1" customHeight="1" thickBot="1" x14ac:dyDescent="0.3">
      <c r="A324" s="202" t="str">
        <f>+'Costos de operación'!C11</f>
        <v>Mano de Obra</v>
      </c>
      <c r="B324" s="203"/>
      <c r="C324" s="104">
        <f>+'Costos de operación'!P11</f>
        <v>247000000</v>
      </c>
    </row>
    <row r="325" spans="1:3" ht="38.25" hidden="1" customHeight="1" thickBot="1" x14ac:dyDescent="0.3">
      <c r="A325" s="202" t="str">
        <f>+'Costos de operación'!C12</f>
        <v>Valor de Operación Anual</v>
      </c>
      <c r="B325" s="203"/>
      <c r="C325" s="104">
        <f>+'Costos de operación'!P12</f>
        <v>5444000000</v>
      </c>
    </row>
    <row r="326" spans="1:3" hidden="1" x14ac:dyDescent="0.25">
      <c r="A326" s="98"/>
      <c r="C326" s="99"/>
    </row>
    <row r="327" spans="1:3" hidden="1" x14ac:dyDescent="0.25">
      <c r="A327" s="204" t="str">
        <f>IF(OR($C$45=1,$C$45=2,$C$45=3,'Datos de entrada'!$B$36=Ponderaciones!$G$49),"Ingresos",".")</f>
        <v>.</v>
      </c>
      <c r="B327" s="205"/>
      <c r="C327" s="206"/>
    </row>
    <row r="328" spans="1:3" ht="17.25" hidden="1" thickBot="1" x14ac:dyDescent="0.3">
      <c r="A328" s="146"/>
      <c r="C328" s="99"/>
    </row>
    <row r="329" spans="1:3" ht="27.75" hidden="1" customHeight="1" thickBot="1" x14ac:dyDescent="0.3">
      <c r="A329" s="202" t="str">
        <f>+Cálculo!X201</f>
        <v>Ingresos por comercialización (COP) (Promedio Anual)</v>
      </c>
      <c r="B329" s="203"/>
      <c r="C329" s="104">
        <f>+Cálculo!L156/Cálculo!B130</f>
        <v>0</v>
      </c>
    </row>
    <row r="330" spans="1:3" hidden="1" x14ac:dyDescent="0.25">
      <c r="A330" s="98"/>
      <c r="C330" s="99"/>
    </row>
    <row r="331" spans="1:3" ht="17.25" hidden="1" thickBot="1" x14ac:dyDescent="0.3">
      <c r="A331" s="98"/>
      <c r="C331" s="99"/>
    </row>
    <row r="332" spans="1:3" ht="33.75" hidden="1" thickBot="1" x14ac:dyDescent="0.3">
      <c r="A332" s="103" t="s">
        <v>126</v>
      </c>
      <c r="B332" s="209" t="str">
        <f>+'Costos de operación'!A19</f>
        <v>Compostaje en pilas con aireación forzada</v>
      </c>
      <c r="C332" s="210"/>
    </row>
    <row r="333" spans="1:3" hidden="1" x14ac:dyDescent="0.25">
      <c r="A333" s="98"/>
      <c r="C333" s="99"/>
    </row>
    <row r="334" spans="1:3" hidden="1" x14ac:dyDescent="0.25">
      <c r="A334" s="204" t="str">
        <f>IF(OR($C$45=1,$C$45=2,$C$45=3,'Datos de entrada'!$B$36=Ponderaciones!$G$49),"Costos de inversión",".")</f>
        <v>.</v>
      </c>
      <c r="B334" s="205"/>
      <c r="C334" s="206"/>
    </row>
    <row r="335" spans="1:3" ht="17.25" hidden="1" thickBot="1" x14ac:dyDescent="0.3">
      <c r="A335" s="98"/>
      <c r="C335" s="99"/>
    </row>
    <row r="336" spans="1:3" ht="31.5" hidden="1" customHeight="1" thickBot="1" x14ac:dyDescent="0.3">
      <c r="A336" s="202" t="str">
        <f>+'Costos de inversión'!C24</f>
        <v>Pre-inversión</v>
      </c>
      <c r="B336" s="203"/>
      <c r="C336" s="104">
        <f>+'Costos de inversión'!P24</f>
        <v>0</v>
      </c>
    </row>
    <row r="337" spans="1:3" ht="31.5" hidden="1" customHeight="1" thickBot="1" x14ac:dyDescent="0.3">
      <c r="A337" s="202" t="str">
        <f>+'Costos de inversión'!C25</f>
        <v xml:space="preserve">   Estudios, Diseños </v>
      </c>
      <c r="B337" s="203"/>
      <c r="C337" s="104">
        <f>+'Costos de inversión'!P25</f>
        <v>1039000000</v>
      </c>
    </row>
    <row r="338" spans="1:3" ht="31.5" hidden="1" customHeight="1" thickBot="1" x14ac:dyDescent="0.3">
      <c r="A338" s="202" t="str">
        <f>+'Costos de inversión'!C26</f>
        <v xml:space="preserve">   Permisos</v>
      </c>
      <c r="B338" s="203"/>
      <c r="C338" s="104">
        <f>+'Costos de inversión'!P26</f>
        <v>86000000</v>
      </c>
    </row>
    <row r="339" spans="1:3" ht="31.5" hidden="1" customHeight="1" thickBot="1" x14ac:dyDescent="0.3">
      <c r="A339" s="202" t="str">
        <f>+'Costos de inversión'!C27</f>
        <v>Infraestructura</v>
      </c>
      <c r="B339" s="203"/>
      <c r="C339" s="104">
        <f>+'Costos de inversión'!P27</f>
        <v>18642000000</v>
      </c>
    </row>
    <row r="340" spans="1:3" ht="31.5" hidden="1" customHeight="1" thickBot="1" x14ac:dyDescent="0.3">
      <c r="A340" s="202" t="str">
        <f>+'Costos de inversión'!C28</f>
        <v>Maquinaria y Equipos (incluido el costo de instalación)</v>
      </c>
      <c r="B340" s="203"/>
      <c r="C340" s="104">
        <f>+'Costos de inversión'!P28</f>
        <v>0</v>
      </c>
    </row>
    <row r="341" spans="1:3" ht="31.5" hidden="1" customHeight="1" thickBot="1" x14ac:dyDescent="0.3">
      <c r="A341" s="202" t="str">
        <f>+'Costos de inversión'!C29</f>
        <v xml:space="preserve">   Trommel</v>
      </c>
      <c r="B341" s="203"/>
      <c r="C341" s="104">
        <f>+'Costos de inversión'!P29</f>
        <v>616000000</v>
      </c>
    </row>
    <row r="342" spans="1:3" ht="31.5" hidden="1" customHeight="1" thickBot="1" x14ac:dyDescent="0.3">
      <c r="A342" s="202" t="str">
        <f>+'Costos de inversión'!C30</f>
        <v xml:space="preserve">   Minicargador</v>
      </c>
      <c r="B342" s="203"/>
      <c r="C342" s="104">
        <f>+'Costos de inversión'!P30</f>
        <v>522897985</v>
      </c>
    </row>
    <row r="343" spans="1:3" ht="31.5" hidden="1" customHeight="1" thickBot="1" x14ac:dyDescent="0.3">
      <c r="A343" s="202" t="str">
        <f>+'Costos de inversión'!C31</f>
        <v xml:space="preserve">   Tractor</v>
      </c>
      <c r="B343" s="203"/>
      <c r="C343" s="104">
        <f>+'Costos de inversión'!P31</f>
        <v>522897985</v>
      </c>
    </row>
    <row r="344" spans="1:3" ht="31.5" hidden="1" customHeight="1" thickBot="1" x14ac:dyDescent="0.3">
      <c r="A344" s="202" t="str">
        <f>+'Costos de inversión'!C32</f>
        <v xml:space="preserve">   Retroexcavadora</v>
      </c>
      <c r="B344" s="203"/>
      <c r="C344" s="104">
        <f>+'Costos de inversión'!P32</f>
        <v>455788083</v>
      </c>
    </row>
    <row r="345" spans="1:3" ht="31.5" hidden="1" customHeight="1" thickBot="1" x14ac:dyDescent="0.3">
      <c r="A345" s="202" t="str">
        <f>+'Costos de inversión'!C33</f>
        <v xml:space="preserve">   Montacargas</v>
      </c>
      <c r="B345" s="203"/>
      <c r="C345" s="104">
        <f>+'Costos de inversión'!P33</f>
        <v>162182263</v>
      </c>
    </row>
    <row r="346" spans="1:3" ht="31.5" hidden="1" customHeight="1" thickBot="1" x14ac:dyDescent="0.3">
      <c r="A346" s="202" t="str">
        <f>+'Costos de inversión'!C34</f>
        <v xml:space="preserve">   Planta electrica</v>
      </c>
      <c r="B346" s="203"/>
      <c r="C346" s="104">
        <f>+'Costos de inversión'!P34</f>
        <v>615174100</v>
      </c>
    </row>
    <row r="347" spans="1:3" ht="31.5" hidden="1" customHeight="1" thickBot="1" x14ac:dyDescent="0.3">
      <c r="A347" s="202" t="str">
        <f>+'Costos de inversión'!C35</f>
        <v xml:space="preserve">   Compresor</v>
      </c>
      <c r="B347" s="203"/>
      <c r="C347" s="104">
        <f>+'Costos de inversión'!P35</f>
        <v>150997280</v>
      </c>
    </row>
    <row r="348" spans="1:3" ht="31.5" hidden="1" customHeight="1" thickBot="1" x14ac:dyDescent="0.3">
      <c r="A348" s="202" t="str">
        <f>+'Costos de inversión'!C36</f>
        <v xml:space="preserve">   Volqueta</v>
      </c>
      <c r="B348" s="203"/>
      <c r="C348" s="104">
        <f>+'Costos de inversión'!P36</f>
        <v>922761150</v>
      </c>
    </row>
    <row r="349" spans="1:3" ht="31.5" hidden="1" customHeight="1" thickBot="1" x14ac:dyDescent="0.3">
      <c r="A349" s="202" t="str">
        <f>+'Costos de inversión'!C37</f>
        <v xml:space="preserve">   Báscula de pesaje</v>
      </c>
      <c r="B349" s="203"/>
      <c r="C349" s="104">
        <f>+'Costos de inversión'!P37</f>
        <v>206314606</v>
      </c>
    </row>
    <row r="350" spans="1:3" ht="31.5" hidden="1" customHeight="1" thickBot="1" x14ac:dyDescent="0.3">
      <c r="A350" s="202" t="str">
        <f>+'Costos de inversión'!C38</f>
        <v>Total Costo de Inversión Inicial</v>
      </c>
      <c r="B350" s="203"/>
      <c r="C350" s="104">
        <f>+'Costos de inversión'!P38</f>
        <v>23942013452</v>
      </c>
    </row>
    <row r="351" spans="1:3" ht="31.5" hidden="1" customHeight="1" x14ac:dyDescent="0.25">
      <c r="A351" s="193"/>
      <c r="B351" s="194"/>
      <c r="C351" s="195"/>
    </row>
    <row r="352" spans="1:3" hidden="1" x14ac:dyDescent="0.25">
      <c r="A352" s="98"/>
      <c r="C352" s="99"/>
    </row>
    <row r="353" spans="1:3" hidden="1" x14ac:dyDescent="0.25">
      <c r="A353" s="204" t="str">
        <f>IF(OR($C$45=1,$C$45=2,$C$45=3,'Datos de entrada'!$B$36=Ponderaciones!$G$49),"Costos de operación",".")</f>
        <v>.</v>
      </c>
      <c r="B353" s="205"/>
      <c r="C353" s="206"/>
    </row>
    <row r="354" spans="1:3" ht="17.25" hidden="1" thickBot="1" x14ac:dyDescent="0.3">
      <c r="A354" s="98"/>
      <c r="C354" s="99"/>
    </row>
    <row r="355" spans="1:3" ht="32.25" hidden="1" customHeight="1" thickBot="1" x14ac:dyDescent="0.3">
      <c r="A355" s="202" t="str">
        <f>+'Costos de operación'!C19</f>
        <v>Energia</v>
      </c>
      <c r="B355" s="203"/>
      <c r="C355" s="104">
        <f>+'Costos de operación'!P19</f>
        <v>292000000</v>
      </c>
    </row>
    <row r="356" spans="1:3" ht="32.25" hidden="1" customHeight="1" thickBot="1" x14ac:dyDescent="0.3">
      <c r="A356" s="202" t="str">
        <f>+'Costos de operación'!C20</f>
        <v>Combustible</v>
      </c>
      <c r="B356" s="203"/>
      <c r="C356" s="104">
        <f>+'Costos de operación'!P20</f>
        <v>1127000000</v>
      </c>
    </row>
    <row r="357" spans="1:3" ht="32.25" hidden="1" customHeight="1" thickBot="1" x14ac:dyDescent="0.3">
      <c r="A357" s="202" t="str">
        <f>+'Costos de operación'!C21</f>
        <v xml:space="preserve">Agua </v>
      </c>
      <c r="B357" s="203"/>
      <c r="C357" s="104">
        <f>+'Costos de operación'!P21</f>
        <v>35000000</v>
      </c>
    </row>
    <row r="358" spans="1:3" ht="32.25" hidden="1" customHeight="1" thickBot="1" x14ac:dyDescent="0.3">
      <c r="A358" s="202" t="str">
        <f>+'Costos de operación'!C22</f>
        <v>Tratamiento RSO</v>
      </c>
      <c r="B358" s="203"/>
      <c r="C358" s="104">
        <f>+'Costos de operación'!P22</f>
        <v>3775000000</v>
      </c>
    </row>
    <row r="359" spans="1:3" ht="32.25" hidden="1" customHeight="1" thickBot="1" x14ac:dyDescent="0.3">
      <c r="A359" s="202" t="str">
        <f>+'Costos de operación'!C23</f>
        <v xml:space="preserve">Monitoreo Ambiental </v>
      </c>
      <c r="B359" s="203"/>
      <c r="C359" s="104">
        <f>+'Costos de operación'!P23</f>
        <v>19000000</v>
      </c>
    </row>
    <row r="360" spans="1:3" ht="32.25" hidden="1" customHeight="1" thickBot="1" x14ac:dyDescent="0.3">
      <c r="A360" s="202" t="str">
        <f>+'Costos de operación'!C24</f>
        <v xml:space="preserve">Mantenimiento - Maquinaria y equipos </v>
      </c>
      <c r="B360" s="203"/>
      <c r="C360" s="104">
        <f>+'Costos de operación'!P24</f>
        <v>143000000</v>
      </c>
    </row>
    <row r="361" spans="1:3" ht="32.25" hidden="1" customHeight="1" thickBot="1" x14ac:dyDescent="0.3">
      <c r="A361" s="202" t="str">
        <f>+'Costos de operación'!C25</f>
        <v xml:space="preserve">Mantenimiento - Infraestructura </v>
      </c>
      <c r="B361" s="203"/>
      <c r="C361" s="104">
        <f>+'Costos de operación'!P25</f>
        <v>235000000</v>
      </c>
    </row>
    <row r="362" spans="1:3" ht="32.25" hidden="1" customHeight="1" thickBot="1" x14ac:dyDescent="0.3">
      <c r="A362" s="202" t="str">
        <f>+'Costos de operación'!C26</f>
        <v>Mano de Obra</v>
      </c>
      <c r="B362" s="203"/>
      <c r="C362" s="104">
        <f>+'Costos de operación'!P26</f>
        <v>247000000</v>
      </c>
    </row>
    <row r="363" spans="1:3" ht="32.25" hidden="1" customHeight="1" thickBot="1" x14ac:dyDescent="0.3">
      <c r="A363" s="202" t="str">
        <f>+'Costos de operación'!C27</f>
        <v>Valor de Operación Anual</v>
      </c>
      <c r="B363" s="203"/>
      <c r="C363" s="104">
        <f>+'Costos de operación'!P27</f>
        <v>5873000000</v>
      </c>
    </row>
    <row r="364" spans="1:3" hidden="1" x14ac:dyDescent="0.25">
      <c r="A364" s="98"/>
      <c r="C364" s="99"/>
    </row>
    <row r="365" spans="1:3" hidden="1" x14ac:dyDescent="0.25">
      <c r="A365" s="204" t="str">
        <f>IF(OR($C$45=1,$C$45=2,$C$45=3,'Datos de entrada'!$B$36=Ponderaciones!$G$49),"Ingresos",".")</f>
        <v>.</v>
      </c>
      <c r="B365" s="205"/>
      <c r="C365" s="206"/>
    </row>
    <row r="366" spans="1:3" ht="17.25" hidden="1" thickBot="1" x14ac:dyDescent="0.3">
      <c r="A366" s="98"/>
      <c r="C366" s="99"/>
    </row>
    <row r="367" spans="1:3" ht="35.25" hidden="1" customHeight="1" thickBot="1" x14ac:dyDescent="0.3">
      <c r="A367" s="202" t="str">
        <f>+A329</f>
        <v>Ingresos por comercialización (COP) (Promedio Anual)</v>
      </c>
      <c r="B367" s="203"/>
      <c r="C367" s="104">
        <f>+Cálculo!L157/Cálculo!B130</f>
        <v>0</v>
      </c>
    </row>
    <row r="368" spans="1:3" hidden="1" x14ac:dyDescent="0.25">
      <c r="A368" s="98"/>
      <c r="C368" s="99"/>
    </row>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sheetData>
  <mergeCells count="243">
    <mergeCell ref="B131:C131"/>
    <mergeCell ref="A6:C7"/>
    <mergeCell ref="B79:C79"/>
    <mergeCell ref="B81:C81"/>
    <mergeCell ref="B83:C83"/>
    <mergeCell ref="B135:C135"/>
    <mergeCell ref="A65:C65"/>
    <mergeCell ref="B68:C68"/>
    <mergeCell ref="A102:B102"/>
    <mergeCell ref="A103:B103"/>
    <mergeCell ref="A124:B124"/>
    <mergeCell ref="A122:C122"/>
    <mergeCell ref="A118:B118"/>
    <mergeCell ref="A119:B119"/>
    <mergeCell ref="A120:B120"/>
    <mergeCell ref="A113:B113"/>
    <mergeCell ref="A114:B114"/>
    <mergeCell ref="A115:B115"/>
    <mergeCell ref="A116:B116"/>
    <mergeCell ref="A117:B117"/>
    <mergeCell ref="A104:B104"/>
    <mergeCell ref="A111:B111"/>
    <mergeCell ref="A43:B43"/>
    <mergeCell ref="A44:B44"/>
    <mergeCell ref="B71:C71"/>
    <mergeCell ref="B73:C73"/>
    <mergeCell ref="B75:C75"/>
    <mergeCell ref="A88:B88"/>
    <mergeCell ref="B70:C70"/>
    <mergeCell ref="A97:B97"/>
    <mergeCell ref="B77:C77"/>
    <mergeCell ref="B74:C74"/>
    <mergeCell ref="B76:C76"/>
    <mergeCell ref="B78:C78"/>
    <mergeCell ref="B80:C80"/>
    <mergeCell ref="A93:B93"/>
    <mergeCell ref="A94:B94"/>
    <mergeCell ref="A95:B95"/>
    <mergeCell ref="A90:B90"/>
    <mergeCell ref="A91:B91"/>
    <mergeCell ref="A92:B92"/>
    <mergeCell ref="B72:C72"/>
    <mergeCell ref="A86:C86"/>
    <mergeCell ref="A42:B42"/>
    <mergeCell ref="A274:C274"/>
    <mergeCell ref="A270:C270"/>
    <mergeCell ref="B60:C60"/>
    <mergeCell ref="B61:C61"/>
    <mergeCell ref="B62:C62"/>
    <mergeCell ref="B63:C63"/>
    <mergeCell ref="A243:C244"/>
    <mergeCell ref="A246:C246"/>
    <mergeCell ref="A248:C248"/>
    <mergeCell ref="A250:C268"/>
    <mergeCell ref="A272:C272"/>
    <mergeCell ref="A96:B96"/>
    <mergeCell ref="A89:B89"/>
    <mergeCell ref="B127:C127"/>
    <mergeCell ref="B129:C129"/>
    <mergeCell ref="B136:C136"/>
    <mergeCell ref="B137:C137"/>
    <mergeCell ref="A151:B151"/>
    <mergeCell ref="A152:B152"/>
    <mergeCell ref="A147:B147"/>
    <mergeCell ref="A148:B148"/>
    <mergeCell ref="A149:B149"/>
    <mergeCell ref="A98:B98"/>
    <mergeCell ref="A175:B175"/>
    <mergeCell ref="A179:B179"/>
    <mergeCell ref="A9:C10"/>
    <mergeCell ref="B28:C28"/>
    <mergeCell ref="B29:C29"/>
    <mergeCell ref="B30:C30"/>
    <mergeCell ref="B31:C31"/>
    <mergeCell ref="B32:C32"/>
    <mergeCell ref="B33:C33"/>
    <mergeCell ref="A22:C23"/>
    <mergeCell ref="A25:C25"/>
    <mergeCell ref="B27:C27"/>
    <mergeCell ref="A12:C12"/>
    <mergeCell ref="A55:C56"/>
    <mergeCell ref="A58:C58"/>
    <mergeCell ref="A49:C50"/>
    <mergeCell ref="A52:C52"/>
    <mergeCell ref="A35:C35"/>
    <mergeCell ref="A45:A46"/>
    <mergeCell ref="A37:B37"/>
    <mergeCell ref="A38:B38"/>
    <mergeCell ref="A39:B39"/>
    <mergeCell ref="A40:B40"/>
    <mergeCell ref="A41:B41"/>
    <mergeCell ref="A99:B99"/>
    <mergeCell ref="A100:B100"/>
    <mergeCell ref="A101:B101"/>
    <mergeCell ref="B142:C142"/>
    <mergeCell ref="A145:C145"/>
    <mergeCell ref="A163:B163"/>
    <mergeCell ref="A108:C108"/>
    <mergeCell ref="A110:B110"/>
    <mergeCell ref="A112:B112"/>
    <mergeCell ref="A150:B150"/>
    <mergeCell ref="B140:C140"/>
    <mergeCell ref="B139:C139"/>
    <mergeCell ref="B130:C130"/>
    <mergeCell ref="B132:C132"/>
    <mergeCell ref="B133:C133"/>
    <mergeCell ref="B134:C134"/>
    <mergeCell ref="B138:C138"/>
    <mergeCell ref="A154:B154"/>
    <mergeCell ref="A155:B155"/>
    <mergeCell ref="A156:B156"/>
    <mergeCell ref="A157:B157"/>
    <mergeCell ref="A158:B158"/>
    <mergeCell ref="A159:B159"/>
    <mergeCell ref="A161:B161"/>
    <mergeCell ref="A174:B174"/>
    <mergeCell ref="A233:B233"/>
    <mergeCell ref="A234:B234"/>
    <mergeCell ref="A235:B235"/>
    <mergeCell ref="A214:B214"/>
    <mergeCell ref="A215:B215"/>
    <mergeCell ref="A216:B216"/>
    <mergeCell ref="A217:B217"/>
    <mergeCell ref="A218:B218"/>
    <mergeCell ref="A219:B219"/>
    <mergeCell ref="A220:B220"/>
    <mergeCell ref="A221:B221"/>
    <mergeCell ref="A225:C225"/>
    <mergeCell ref="B189:C189"/>
    <mergeCell ref="A181:C181"/>
    <mergeCell ref="A183:B183"/>
    <mergeCell ref="A227:B227"/>
    <mergeCell ref="A228:B228"/>
    <mergeCell ref="A229:B229"/>
    <mergeCell ref="A230:B230"/>
    <mergeCell ref="A231:B231"/>
    <mergeCell ref="A232:B232"/>
    <mergeCell ref="A205:B205"/>
    <mergeCell ref="A206:B206"/>
    <mergeCell ref="A66:C66"/>
    <mergeCell ref="A284:C285"/>
    <mergeCell ref="B293:C293"/>
    <mergeCell ref="A287:C287"/>
    <mergeCell ref="B84:C84"/>
    <mergeCell ref="B143:C143"/>
    <mergeCell ref="B201:C201"/>
    <mergeCell ref="A236:B236"/>
    <mergeCell ref="A237:B237"/>
    <mergeCell ref="A239:C239"/>
    <mergeCell ref="A241:B241"/>
    <mergeCell ref="A207:B207"/>
    <mergeCell ref="A208:B208"/>
    <mergeCell ref="A209:B209"/>
    <mergeCell ref="A210:B210"/>
    <mergeCell ref="A211:B211"/>
    <mergeCell ref="A212:B212"/>
    <mergeCell ref="A213:B213"/>
    <mergeCell ref="B185:C185"/>
    <mergeCell ref="B187:C187"/>
    <mergeCell ref="B188:C188"/>
    <mergeCell ref="B190:C190"/>
    <mergeCell ref="B191:C191"/>
    <mergeCell ref="B197:C197"/>
    <mergeCell ref="A298:C298"/>
    <mergeCell ref="A300:B300"/>
    <mergeCell ref="A301:B301"/>
    <mergeCell ref="A176:B176"/>
    <mergeCell ref="A177:B177"/>
    <mergeCell ref="A178:B178"/>
    <mergeCell ref="A153:B153"/>
    <mergeCell ref="A160:B160"/>
    <mergeCell ref="B296:C296"/>
    <mergeCell ref="B198:C198"/>
    <mergeCell ref="B200:C200"/>
    <mergeCell ref="A203:C203"/>
    <mergeCell ref="B192:C192"/>
    <mergeCell ref="B193:C193"/>
    <mergeCell ref="B194:C194"/>
    <mergeCell ref="B195:C195"/>
    <mergeCell ref="B196:C196"/>
    <mergeCell ref="A162:B162"/>
    <mergeCell ref="A167:C167"/>
    <mergeCell ref="A169:B169"/>
    <mergeCell ref="A170:B170"/>
    <mergeCell ref="A171:B171"/>
    <mergeCell ref="A172:B172"/>
    <mergeCell ref="A173:B173"/>
    <mergeCell ref="A324:B324"/>
    <mergeCell ref="A325:B325"/>
    <mergeCell ref="A302:B302"/>
    <mergeCell ref="A303:B303"/>
    <mergeCell ref="A304:B304"/>
    <mergeCell ref="A305:B305"/>
    <mergeCell ref="A306:B306"/>
    <mergeCell ref="A307:B307"/>
    <mergeCell ref="A308:B308"/>
    <mergeCell ref="A319:B319"/>
    <mergeCell ref="A320:B320"/>
    <mergeCell ref="A321:B321"/>
    <mergeCell ref="A322:B322"/>
    <mergeCell ref="A323:B323"/>
    <mergeCell ref="A309:B309"/>
    <mergeCell ref="A310:B310"/>
    <mergeCell ref="A311:B311"/>
    <mergeCell ref="A312:B312"/>
    <mergeCell ref="A313:B313"/>
    <mergeCell ref="A315:C315"/>
    <mergeCell ref="A317:B317"/>
    <mergeCell ref="A318:B318"/>
    <mergeCell ref="A338:B338"/>
    <mergeCell ref="A339:B339"/>
    <mergeCell ref="A340:B340"/>
    <mergeCell ref="A341:B341"/>
    <mergeCell ref="A342:B342"/>
    <mergeCell ref="A334:C334"/>
    <mergeCell ref="A350:B350"/>
    <mergeCell ref="A327:C327"/>
    <mergeCell ref="A329:B329"/>
    <mergeCell ref="B332:C332"/>
    <mergeCell ref="A363:B363"/>
    <mergeCell ref="A365:C365"/>
    <mergeCell ref="A367:B367"/>
    <mergeCell ref="B82:C82"/>
    <mergeCell ref="B141:C141"/>
    <mergeCell ref="B199:C199"/>
    <mergeCell ref="A355:B355"/>
    <mergeCell ref="A356:B356"/>
    <mergeCell ref="A357:B357"/>
    <mergeCell ref="A358:B358"/>
    <mergeCell ref="A359:B359"/>
    <mergeCell ref="A360:B360"/>
    <mergeCell ref="A361:B361"/>
    <mergeCell ref="A362:B362"/>
    <mergeCell ref="A343:B343"/>
    <mergeCell ref="A344:B344"/>
    <mergeCell ref="A345:B345"/>
    <mergeCell ref="A346:B346"/>
    <mergeCell ref="A347:B347"/>
    <mergeCell ref="A348:B348"/>
    <mergeCell ref="A349:B349"/>
    <mergeCell ref="A353:C353"/>
    <mergeCell ref="A336:B336"/>
    <mergeCell ref="A337:B337"/>
  </mergeCells>
  <conditionalFormatting sqref="B45:B46 C38:C44">
    <cfRule type="cellIs" dxfId="68" priority="99" operator="equal">
      <formula>"Alta"</formula>
    </cfRule>
    <cfRule type="cellIs" dxfId="67" priority="100" operator="equal">
      <formula>"Media"</formula>
    </cfRule>
    <cfRule type="cellIs" dxfId="66" priority="101" operator="equal">
      <formula>"Baja"</formula>
    </cfRule>
  </conditionalFormatting>
  <conditionalFormatting sqref="B75:C75 A74:B74 B77:C77 B79:C81 B73:C73 B72 A67:C70 A202:C241 B83:C83 A55:C65 B71:C71 A144:C184 A85:C127 A296:C325 A333:C368">
    <cfRule type="beginsWith" dxfId="65" priority="91" operator="beginsWith" text=".">
      <formula>LEFT(A55,LEN("."))="."</formula>
    </cfRule>
  </conditionalFormatting>
  <conditionalFormatting sqref="A272:C272">
    <cfRule type="beginsWith" dxfId="64" priority="90" operator="beginsWith" text=".">
      <formula>LEFT(A272,LEN("."))="."</formula>
    </cfRule>
  </conditionalFormatting>
  <conditionalFormatting sqref="A76:B76">
    <cfRule type="beginsWith" dxfId="63" priority="83" operator="beginsWith" text=".">
      <formula>LEFT(A76,LEN("."))="."</formula>
    </cfRule>
  </conditionalFormatting>
  <conditionalFormatting sqref="A78:B78">
    <cfRule type="beginsWith" dxfId="62" priority="82" operator="beginsWith" text=".">
      <formula>LEFT(A78,LEN("."))="."</formula>
    </cfRule>
  </conditionalFormatting>
  <conditionalFormatting sqref="A80">
    <cfRule type="beginsWith" dxfId="61" priority="80" operator="beginsWith" text=".">
      <formula>LEFT(A80,LEN("."))="."</formula>
    </cfRule>
  </conditionalFormatting>
  <conditionalFormatting sqref="A274:C274">
    <cfRule type="beginsWith" dxfId="60" priority="78" operator="beginsWith" text=".">
      <formula>LEFT(A274,LEN("."))="."</formula>
    </cfRule>
  </conditionalFormatting>
  <conditionalFormatting sqref="B134:C134 A133:B133 B136:C136 A128:C129 B138:C140 B132:C132 B131 B142:C142 B130:C130">
    <cfRule type="beginsWith" dxfId="59" priority="77" operator="beginsWith" text=".">
      <formula>LEFT(A128,LEN("."))="."</formula>
    </cfRule>
  </conditionalFormatting>
  <conditionalFormatting sqref="A135:B135">
    <cfRule type="beginsWith" dxfId="58" priority="76" operator="beginsWith" text=".">
      <formula>LEFT(A135,LEN("."))="."</formula>
    </cfRule>
  </conditionalFormatting>
  <conditionalFormatting sqref="A137:B137">
    <cfRule type="beginsWith" dxfId="57" priority="75" operator="beginsWith" text=".">
      <formula>LEFT(A137,LEN("."))="."</formula>
    </cfRule>
  </conditionalFormatting>
  <conditionalFormatting sqref="A139">
    <cfRule type="beginsWith" dxfId="56" priority="74" operator="beginsWith" text=".">
      <formula>LEFT(A139,LEN("."))="."</formula>
    </cfRule>
  </conditionalFormatting>
  <conditionalFormatting sqref="A185:C185">
    <cfRule type="beginsWith" dxfId="55" priority="73" operator="beginsWith" text=".">
      <formula>LEFT(A185,LEN("."))="."</formula>
    </cfRule>
  </conditionalFormatting>
  <conditionalFormatting sqref="B192:C192 A191:B191 B194:C194 A186:C187 B190:C190 B189 B196:C198 B200:C200 B188:C188">
    <cfRule type="beginsWith" dxfId="54" priority="72" operator="beginsWith" text=".">
      <formula>LEFT(A186,LEN("."))="."</formula>
    </cfRule>
  </conditionalFormatting>
  <conditionalFormatting sqref="A193:B193">
    <cfRule type="beginsWith" dxfId="53" priority="71" operator="beginsWith" text=".">
      <formula>LEFT(A193,LEN("."))="."</formula>
    </cfRule>
  </conditionalFormatting>
  <conditionalFormatting sqref="A195:B195">
    <cfRule type="beginsWith" dxfId="52" priority="70" operator="beginsWith" text=".">
      <formula>LEFT(A195,LEN("."))="."</formula>
    </cfRule>
  </conditionalFormatting>
  <conditionalFormatting sqref="A197">
    <cfRule type="beginsWith" dxfId="51" priority="69" operator="beginsWith" text=".">
      <formula>LEFT(A197,LEN("."))="."</formula>
    </cfRule>
  </conditionalFormatting>
  <conditionalFormatting sqref="A270:C270">
    <cfRule type="beginsWith" dxfId="50" priority="68" operator="beginsWith" text=".">
      <formula>LEFT(A270,LEN("."))="."</formula>
    </cfRule>
  </conditionalFormatting>
  <conditionalFormatting sqref="B84:C84">
    <cfRule type="beginsWith" dxfId="49" priority="67" operator="beginsWith" text=".">
      <formula>LEFT(B84,LEN("."))="."</formula>
    </cfRule>
  </conditionalFormatting>
  <conditionalFormatting sqref="A84">
    <cfRule type="beginsWith" dxfId="48" priority="66" operator="beginsWith" text=".">
      <formula>LEFT(A84,LEN("."))="."</formula>
    </cfRule>
  </conditionalFormatting>
  <conditionalFormatting sqref="B143:C143">
    <cfRule type="beginsWith" dxfId="47" priority="65" operator="beginsWith" text=".">
      <formula>LEFT(B143,LEN("."))="."</formula>
    </cfRule>
  </conditionalFormatting>
  <conditionalFormatting sqref="A143">
    <cfRule type="beginsWith" dxfId="46" priority="64" operator="beginsWith" text=".">
      <formula>LEFT(A143,LEN("."))="."</formula>
    </cfRule>
  </conditionalFormatting>
  <conditionalFormatting sqref="B201:C201">
    <cfRule type="beginsWith" dxfId="45" priority="63" operator="beginsWith" text=".">
      <formula>LEFT(B201,LEN("."))="."</formula>
    </cfRule>
  </conditionalFormatting>
  <conditionalFormatting sqref="A201">
    <cfRule type="beginsWith" dxfId="44" priority="62" operator="beginsWith" text=".">
      <formula>LEFT(A201,LEN("."))="."</formula>
    </cfRule>
  </conditionalFormatting>
  <conditionalFormatting sqref="A66:C66">
    <cfRule type="beginsWith" dxfId="43" priority="60" operator="beginsWith" text=".">
      <formula>LEFT(A66,LEN("."))="."</formula>
    </cfRule>
  </conditionalFormatting>
  <conditionalFormatting sqref="A284:C285">
    <cfRule type="beginsWith" dxfId="42" priority="59" operator="beginsWith" text=".">
      <formula>LEFT(A284,LEN("."))="."</formula>
    </cfRule>
  </conditionalFormatting>
  <conditionalFormatting sqref="B293:C293">
    <cfRule type="beginsWith" dxfId="41" priority="58" operator="beginsWith" text=".">
      <formula>LEFT(B293,LEN("."))="."</formula>
    </cfRule>
  </conditionalFormatting>
  <conditionalFormatting sqref="A293">
    <cfRule type="beginsWith" dxfId="40" priority="57" operator="beginsWith" text=".">
      <formula>LEFT(A293,LEN("."))="."</formula>
    </cfRule>
  </conditionalFormatting>
  <conditionalFormatting sqref="A287:C287">
    <cfRule type="beginsWith" dxfId="39" priority="56" operator="beginsWith" text=".">
      <formula>LEFT(A287,LEN("."))="."</formula>
    </cfRule>
  </conditionalFormatting>
  <conditionalFormatting sqref="A332:C332">
    <cfRule type="beginsWith" dxfId="38" priority="41" operator="beginsWith" text=".">
      <formula>LEFT(A332,LEN("."))="."</formula>
    </cfRule>
  </conditionalFormatting>
  <conditionalFormatting sqref="A326:C331">
    <cfRule type="beginsWith" dxfId="37" priority="54" operator="beginsWith" text=".">
      <formula>LEFT(A326,LEN("."))="."</formula>
    </cfRule>
  </conditionalFormatting>
  <conditionalFormatting sqref="B82:C82">
    <cfRule type="beginsWith" dxfId="36" priority="38" operator="beginsWith" text=".">
      <formula>LEFT(B82,LEN("."))="."</formula>
    </cfRule>
  </conditionalFormatting>
  <conditionalFormatting sqref="A82">
    <cfRule type="beginsWith" dxfId="35" priority="37" operator="beginsWith" text=".">
      <formula>LEFT(A82,LEN("."))="."</formula>
    </cfRule>
  </conditionalFormatting>
  <conditionalFormatting sqref="B141:C141">
    <cfRule type="beginsWith" dxfId="34" priority="36" operator="beginsWith" text=".">
      <formula>LEFT(B141,LEN("."))="."</formula>
    </cfRule>
  </conditionalFormatting>
  <conditionalFormatting sqref="A141">
    <cfRule type="beginsWith" dxfId="33" priority="35" operator="beginsWith" text=".">
      <formula>LEFT(A141,LEN("."))="."</formula>
    </cfRule>
  </conditionalFormatting>
  <conditionalFormatting sqref="B199:C199">
    <cfRule type="beginsWith" dxfId="32" priority="34" operator="beginsWith" text=".">
      <formula>LEFT(B199,LEN("."))="."</formula>
    </cfRule>
  </conditionalFormatting>
  <conditionalFormatting sqref="A199">
    <cfRule type="beginsWith" dxfId="31" priority="33" operator="beginsWith" text=".">
      <formula>LEFT(A199,LEN("."))="."</formula>
    </cfRule>
  </conditionalFormatting>
  <conditionalFormatting sqref="A198">
    <cfRule type="beginsWith" dxfId="30" priority="17" operator="beginsWith" text=".">
      <formula>LEFT(A198,LEN("."))="."</formula>
    </cfRule>
  </conditionalFormatting>
  <conditionalFormatting sqref="A194">
    <cfRule type="beginsWith" dxfId="29" priority="15" operator="beginsWith" text=".">
      <formula>LEFT(A194,LEN("."))="."</formula>
    </cfRule>
  </conditionalFormatting>
  <conditionalFormatting sqref="A188:A190">
    <cfRule type="beginsWith" dxfId="28" priority="13" operator="beginsWith" text=".">
      <formula>LEFT(A188,LEN("."))="."</formula>
    </cfRule>
  </conditionalFormatting>
  <conditionalFormatting sqref="A140">
    <cfRule type="beginsWith" dxfId="27" priority="11" operator="beginsWith" text=".">
      <formula>LEFT(A140,LEN("."))="."</formula>
    </cfRule>
  </conditionalFormatting>
  <conditionalFormatting sqref="A138">
    <cfRule type="beginsWith" dxfId="26" priority="10" operator="beginsWith" text=".">
      <formula>LEFT(A138,LEN("."))="."</formula>
    </cfRule>
  </conditionalFormatting>
  <conditionalFormatting sqref="A134">
    <cfRule type="beginsWith" dxfId="25" priority="8" operator="beginsWith" text=".">
      <formula>LEFT(A134,LEN("."))="."</formula>
    </cfRule>
  </conditionalFormatting>
  <conditionalFormatting sqref="A83">
    <cfRule type="beginsWith" dxfId="24" priority="6" operator="beginsWith" text=".">
      <formula>LEFT(A83,LEN("."))="."</formula>
    </cfRule>
  </conditionalFormatting>
  <conditionalFormatting sqref="A79">
    <cfRule type="beginsWith" dxfId="23" priority="4" operator="beginsWith" text=".">
      <formula>LEFT(A79,LEN("."))="."</formula>
    </cfRule>
  </conditionalFormatting>
  <conditionalFormatting sqref="A75">
    <cfRule type="beginsWith" dxfId="22" priority="2" operator="beginsWith" text=".">
      <formula>LEFT(A75,LEN("."))="."</formula>
    </cfRule>
  </conditionalFormatting>
  <conditionalFormatting sqref="A200">
    <cfRule type="beginsWith" dxfId="21" priority="18" operator="beginsWith" text=".">
      <formula>LEFT(A200,LEN("."))="."</formula>
    </cfRule>
  </conditionalFormatting>
  <conditionalFormatting sqref="A196">
    <cfRule type="beginsWith" dxfId="20" priority="16" operator="beginsWith" text=".">
      <formula>LEFT(A196,LEN("."))="."</formula>
    </cfRule>
  </conditionalFormatting>
  <conditionalFormatting sqref="A192">
    <cfRule type="beginsWith" dxfId="19" priority="14" operator="beginsWith" text=".">
      <formula>LEFT(A192,LEN("."))="."</formula>
    </cfRule>
  </conditionalFormatting>
  <conditionalFormatting sqref="A142">
    <cfRule type="beginsWith" dxfId="18" priority="12" operator="beginsWith" text=".">
      <formula>LEFT(A142,LEN("."))="."</formula>
    </cfRule>
  </conditionalFormatting>
  <conditionalFormatting sqref="A136">
    <cfRule type="beginsWith" dxfId="17" priority="9" operator="beginsWith" text=".">
      <formula>LEFT(A136,LEN("."))="."</formula>
    </cfRule>
  </conditionalFormatting>
  <conditionalFormatting sqref="A130:A132">
    <cfRule type="beginsWith" dxfId="16" priority="7" operator="beginsWith" text=".">
      <formula>LEFT(A130,LEN("."))="."</formula>
    </cfRule>
  </conditionalFormatting>
  <conditionalFormatting sqref="A81">
    <cfRule type="beginsWith" dxfId="15" priority="5" operator="beginsWith" text=".">
      <formula>LEFT(A81,LEN("."))="."</formula>
    </cfRule>
  </conditionalFormatting>
  <conditionalFormatting sqref="A77">
    <cfRule type="beginsWith" dxfId="14" priority="3" operator="beginsWith" text=".">
      <formula>LEFT(A77,LEN("."))="."</formula>
    </cfRule>
  </conditionalFormatting>
  <conditionalFormatting sqref="A71:A73">
    <cfRule type="beginsWith" dxfId="13" priority="1" operator="beginsWith" text=".">
      <formula>LEFT(A71,LEN("."))="."</formula>
    </cfRule>
  </conditionalFormatting>
  <hyperlinks>
    <hyperlink ref="A71" location="'Interpretación de Resultados'!A2" display="'Interpretación de Resultados'!A2" xr:uid="{38B61476-C68C-4153-83AF-167C00A9DC8B}"/>
    <hyperlink ref="A72" location="'Interpretación de Resultados'!A3" display="'Interpretación de Resultados'!A3" xr:uid="{C826FA58-5033-482E-920C-D078BE28557E}"/>
    <hyperlink ref="A73" location="'Interpretación de Resultados'!A4" display="'Interpretación de Resultados'!A4" xr:uid="{6F184D4C-8F64-48FA-8FAC-FC9E87CEBD65}"/>
    <hyperlink ref="A77" location="'Interpretación de Resultados'!A5" display="'Interpretación de Resultados'!A5" xr:uid="{0A9713C3-839F-4510-BF9E-D8DD7E1FF96E}"/>
    <hyperlink ref="A79" location="'Interpretación de Resultados'!A6" display="'Interpretación de Resultados'!A6" xr:uid="{4D8965D4-7B78-46F6-9369-037C3B155FA5}"/>
    <hyperlink ref="A81" location="'Interpretación de Resultados'!A8" display="'Interpretación de Resultados'!A8" xr:uid="{5B6671A8-076E-4A9C-9E6D-B19A2A42C763}"/>
    <hyperlink ref="A83" location="'Interpretación de Resultados'!A9" display="'Interpretación de Resultados'!A9" xr:uid="{FC261E21-93F7-4BAF-9D27-81BE793650CA}"/>
    <hyperlink ref="A130" location="'Interpretación de Resultados'!A2" display="'Interpretación de Resultados'!A2" xr:uid="{CECD9802-A442-4279-A6EE-79C11DE921F7}"/>
    <hyperlink ref="A131" location="'Interpretación de Resultados'!A3" display="'Interpretación de Resultados'!A3" xr:uid="{CC512AF7-1718-4257-A4DB-482E868150B3}"/>
    <hyperlink ref="A132" location="'Interpretación de Resultados'!A4" display="'Interpretación de Resultados'!A4" xr:uid="{76BCF7A0-AE61-4F33-AF60-3725F034D3EE}"/>
    <hyperlink ref="A134" location="'Interpretación de Resultados'!A5" display="'Interpretación de Resultados'!A5" xr:uid="{BB5AC0AF-97A6-41F3-A843-40906B795042}"/>
    <hyperlink ref="A136" location="'Interpretación de Resultados'!A6" display="'Interpretación de Resultados'!A6" xr:uid="{A8EED978-6243-417E-B98E-3373CBF50667}"/>
    <hyperlink ref="A138" location="'Interpretación de Resultados'!A7" display="'Interpretación de Resultados'!A7" xr:uid="{6B7BE176-8B45-476F-9EA9-8CAAF94FD2CC}"/>
    <hyperlink ref="A140" location="'Interpretación de Resultados'!A8" display="'Interpretación de Resultados'!A8" xr:uid="{7D5AA44A-EB6B-4CD1-A533-4D8680F30BB4}"/>
    <hyperlink ref="A142" location="'Interpretación de Resultados'!A9" display="'Interpretación de Resultados'!A9" xr:uid="{C043ACFF-09A1-4EF2-ACA6-CA7B0F0B42DD}"/>
    <hyperlink ref="A188" location="'Interpretación de Resultados'!A2" display="'Interpretación de Resultados'!A2" xr:uid="{561591EB-3AFE-4416-9325-E14A337A31F3}"/>
    <hyperlink ref="A189" location="'Interpretación de Resultados'!A3" display="'Interpretación de Resultados'!A3" xr:uid="{D3A07DD6-9040-4E6D-B9B1-BB7E271AF125}"/>
    <hyperlink ref="A190" location="'Interpretación de Resultados'!A4" display="'Interpretación de Resultados'!A4" xr:uid="{3D4076C8-CF97-4397-AB56-696938EB1F5B}"/>
    <hyperlink ref="A192" location="'Interpretación de Resultados'!A5" display="'Interpretación de Resultados'!A5" xr:uid="{FA240549-CB87-4638-8ECA-75D21C8ED237}"/>
    <hyperlink ref="A194" location="'Interpretación de Resultados'!A6" display="'Interpretación de Resultados'!A6" xr:uid="{AECEA11D-F284-47F8-9ADF-BE06D8FD6298}"/>
    <hyperlink ref="A196" location="'Interpretación de Resultados'!A7" display="'Interpretación de Resultados'!A7" xr:uid="{36483371-6A1F-44A3-A65D-39A45894CBAC}"/>
    <hyperlink ref="A198" location="'Interpretación de Resultados'!A8" display="'Interpretación de Resultados'!A8" xr:uid="{B53DC386-ED18-42AE-80BE-8CA59230F57A}"/>
    <hyperlink ref="A200" location="'Interpretación de Resultados'!A9" display="'Interpretación de Resultados'!A9" xr:uid="{D12B479F-2F89-4298-A5F1-13C2F2073954}"/>
  </hyperlinks>
  <printOptions horizontalCentered="1"/>
  <pageMargins left="0.70866141732283472" right="0.70866141732283472" top="0.74803149606299213" bottom="0.74803149606299213" header="0.31496062992125984" footer="0.31496062992125984"/>
  <pageSetup scale="80" fitToHeight="50" orientation="portrait" r:id="rId1"/>
  <headerFooter>
    <oddFooter xml:space="preserve">&amp;R&amp;8Desarrollado por Witteveen+Bos y MAG Consultoría para el Banco Mundial y el Ministerio de Vivienda, Ciudad y Territorio. (Contrato #7199018)
</oddFooter>
  </headerFooter>
  <rowBreaks count="2" manualBreakCount="2">
    <brk id="242" max="2" man="1"/>
    <brk id="282" max="2" man="1"/>
  </rowBreaks>
  <ignoredErrors>
    <ignoredError sqref="A78"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5124" r:id="rId4" name="Button 4">
              <controlPr defaultSize="0" print="0" autoFill="0" autoPict="0" macro="[0]!Portada">
                <anchor moveWithCells="1" sizeWithCells="1">
                  <from>
                    <xdr:col>0</xdr:col>
                    <xdr:colOff>0</xdr:colOff>
                    <xdr:row>3</xdr:row>
                    <xdr:rowOff>161925</xdr:rowOff>
                  </from>
                  <to>
                    <xdr:col>0</xdr:col>
                    <xdr:colOff>1352550</xdr:colOff>
                    <xdr:row>4</xdr:row>
                    <xdr:rowOff>190500</xdr:rowOff>
                  </to>
                </anchor>
              </controlPr>
            </control>
          </mc:Choice>
        </mc:AlternateContent>
        <mc:AlternateContent xmlns:mc="http://schemas.openxmlformats.org/markup-compatibility/2006">
          <mc:Choice Requires="x14">
            <control shapeId="5125" r:id="rId5" name="Button 5">
              <controlPr defaultSize="0" print="0" autoFill="0" autoPict="0" macro="[0]!Instrucciones">
                <anchor moveWithCells="1" sizeWithCells="1">
                  <from>
                    <xdr:col>1</xdr:col>
                    <xdr:colOff>1609725</xdr:colOff>
                    <xdr:row>3</xdr:row>
                    <xdr:rowOff>152400</xdr:rowOff>
                  </from>
                  <to>
                    <xdr:col>2</xdr:col>
                    <xdr:colOff>238125</xdr:colOff>
                    <xdr:row>4</xdr:row>
                    <xdr:rowOff>209550</xdr:rowOff>
                  </to>
                </anchor>
              </controlPr>
            </control>
          </mc:Choice>
        </mc:AlternateContent>
        <mc:AlternateContent xmlns:mc="http://schemas.openxmlformats.org/markup-compatibility/2006">
          <mc:Choice Requires="x14">
            <control shapeId="5126" r:id="rId6" name="Button 6">
              <controlPr defaultSize="0" print="0" autoFill="0" autoPict="0" macro="[0]!Entrada">
                <anchor moveWithCells="1" sizeWithCells="1">
                  <from>
                    <xdr:col>1</xdr:col>
                    <xdr:colOff>19050</xdr:colOff>
                    <xdr:row>3</xdr:row>
                    <xdr:rowOff>142875</xdr:rowOff>
                  </from>
                  <to>
                    <xdr:col>1</xdr:col>
                    <xdr:colOff>1362075</xdr:colOff>
                    <xdr:row>4</xdr:row>
                    <xdr:rowOff>200025</xdr:rowOff>
                  </to>
                </anchor>
              </controlPr>
            </control>
          </mc:Choice>
        </mc:AlternateContent>
        <mc:AlternateContent xmlns:mc="http://schemas.openxmlformats.org/markup-compatibility/2006">
          <mc:Choice Requires="x14">
            <control shapeId="5128" r:id="rId7" name="Button 8">
              <controlPr defaultSize="0" print="0" autoFill="0" autoPict="0" macro="[0]!PDFActiveSheet">
                <anchor moveWithCells="1" sizeWithCells="1">
                  <from>
                    <xdr:col>2</xdr:col>
                    <xdr:colOff>495300</xdr:colOff>
                    <xdr:row>3</xdr:row>
                    <xdr:rowOff>161925</xdr:rowOff>
                  </from>
                  <to>
                    <xdr:col>2</xdr:col>
                    <xdr:colOff>1847850</xdr:colOff>
                    <xdr:row>4</xdr:row>
                    <xdr:rowOff>190500</xdr:rowOff>
                  </to>
                </anchor>
              </controlPr>
            </control>
          </mc:Choice>
        </mc:AlternateContent>
        <mc:AlternateContent xmlns:mc="http://schemas.openxmlformats.org/markup-compatibility/2006">
          <mc:Choice Requires="x14">
            <control shapeId="5131" r:id="rId8" name="Button 11">
              <controlPr defaultSize="0" print="0" autoFill="0" autoPict="0" macro="[0]!PDFActiveSheet">
                <anchor moveWithCells="1" sizeWithCells="1">
                  <from>
                    <xdr:col>0</xdr:col>
                    <xdr:colOff>95250</xdr:colOff>
                    <xdr:row>393</xdr:row>
                    <xdr:rowOff>95250</xdr:rowOff>
                  </from>
                  <to>
                    <xdr:col>0</xdr:col>
                    <xdr:colOff>1447800</xdr:colOff>
                    <xdr:row>394</xdr:row>
                    <xdr:rowOff>47625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7BCC0-71B4-4073-A75E-7FCF37E9B6F7}">
  <sheetPr codeName="Hoja19"/>
  <dimension ref="A1:B9"/>
  <sheetViews>
    <sheetView showGridLines="0" workbookViewId="0">
      <selection activeCell="B9" sqref="B9"/>
    </sheetView>
  </sheetViews>
  <sheetFormatPr baseColWidth="10" defaultColWidth="11.42578125" defaultRowHeight="15" x14ac:dyDescent="0.25"/>
  <cols>
    <col min="1" max="1" width="50.28515625" customWidth="1"/>
    <col min="2" max="2" width="58.140625" customWidth="1"/>
  </cols>
  <sheetData>
    <row r="1" spans="1:2" ht="17.25" thickBot="1" x14ac:dyDescent="0.3">
      <c r="A1" s="100" t="s">
        <v>93</v>
      </c>
      <c r="B1" s="189" t="s">
        <v>94</v>
      </c>
    </row>
    <row r="2" spans="1:2" ht="17.25" thickBot="1" x14ac:dyDescent="0.3">
      <c r="A2" s="101" t="s">
        <v>94</v>
      </c>
      <c r="B2" s="188" t="s">
        <v>127</v>
      </c>
    </row>
    <row r="3" spans="1:2" ht="33.75" thickBot="1" x14ac:dyDescent="0.3">
      <c r="A3" s="101" t="s">
        <v>128</v>
      </c>
      <c r="B3" s="188" t="s">
        <v>129</v>
      </c>
    </row>
    <row r="4" spans="1:2" ht="66.75" thickBot="1" x14ac:dyDescent="0.3">
      <c r="A4" s="101" t="s">
        <v>130</v>
      </c>
      <c r="B4" s="188" t="s">
        <v>131</v>
      </c>
    </row>
    <row r="5" spans="1:2" ht="33.75" thickBot="1" x14ac:dyDescent="0.3">
      <c r="A5" s="101" t="s">
        <v>132</v>
      </c>
      <c r="B5" s="188" t="s">
        <v>133</v>
      </c>
    </row>
    <row r="6" spans="1:2" ht="33.75" thickBot="1" x14ac:dyDescent="0.3">
      <c r="A6" s="101" t="s">
        <v>134</v>
      </c>
      <c r="B6" s="188" t="s">
        <v>135</v>
      </c>
    </row>
    <row r="7" spans="1:2" ht="83.25" thickBot="1" x14ac:dyDescent="0.3">
      <c r="A7" s="101" t="s">
        <v>136</v>
      </c>
      <c r="B7" s="188" t="s">
        <v>137</v>
      </c>
    </row>
    <row r="8" spans="1:2" ht="50.25" thickBot="1" x14ac:dyDescent="0.3">
      <c r="A8" s="101" t="s">
        <v>138</v>
      </c>
      <c r="B8" s="188" t="s">
        <v>139</v>
      </c>
    </row>
    <row r="9" spans="1:2" ht="66.75" thickBot="1" x14ac:dyDescent="0.3">
      <c r="A9" s="101" t="s">
        <v>140</v>
      </c>
      <c r="B9" s="188" t="s">
        <v>141</v>
      </c>
    </row>
  </sheetData>
  <conditionalFormatting sqref="A1:B9">
    <cfRule type="beginsWith" dxfId="12" priority="1" operator="beginsWith" text=".">
      <formula>LEFT(A1,LEN("."))="."</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8369" r:id="rId3" name="Button 1">
              <controlPr defaultSize="0" print="0" autoFill="0" autoPict="0" macro="[0]!Resultados">
                <anchor moveWithCells="1" sizeWithCells="1">
                  <from>
                    <xdr:col>2</xdr:col>
                    <xdr:colOff>219075</xdr:colOff>
                    <xdr:row>0</xdr:row>
                    <xdr:rowOff>85725</xdr:rowOff>
                  </from>
                  <to>
                    <xdr:col>3</xdr:col>
                    <xdr:colOff>638175</xdr:colOff>
                    <xdr:row>1</xdr:row>
                    <xdr:rowOff>123825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A3D97-3128-41B7-8B1A-5C19D3C2E129}">
  <sheetPr codeName="Hoja13">
    <tabColor theme="7"/>
  </sheetPr>
  <dimension ref="A1:AV323"/>
  <sheetViews>
    <sheetView topLeftCell="A119" zoomScale="81" zoomScaleNormal="110" workbookViewId="0">
      <selection activeCell="B128" sqref="B128"/>
    </sheetView>
  </sheetViews>
  <sheetFormatPr baseColWidth="10" defaultColWidth="11.42578125" defaultRowHeight="15" x14ac:dyDescent="0.25"/>
  <cols>
    <col min="1" max="1" width="46.85546875" style="3" bestFit="1" customWidth="1"/>
    <col min="2" max="2" width="26.28515625" style="3" bestFit="1" customWidth="1"/>
    <col min="3" max="3" width="104.85546875" style="3" customWidth="1"/>
    <col min="4" max="4" width="23.5703125" style="3" customWidth="1"/>
    <col min="5" max="5" width="22.42578125" style="3" customWidth="1"/>
    <col min="6" max="6" width="56.28515625" style="3" customWidth="1"/>
    <col min="7" max="7" width="25" style="3" customWidth="1"/>
    <col min="8" max="8" width="27.7109375" style="3" customWidth="1"/>
    <col min="9" max="9" width="20" style="3" customWidth="1"/>
    <col min="10" max="10" width="18.7109375" style="3" customWidth="1"/>
    <col min="11" max="11" width="22.85546875" style="3" customWidth="1"/>
    <col min="12" max="12" width="22.85546875" style="3" bestFit="1" customWidth="1"/>
    <col min="13" max="13" width="23.140625" style="3" bestFit="1" customWidth="1"/>
    <col min="14" max="14" width="28.28515625" style="3" bestFit="1" customWidth="1"/>
    <col min="15" max="15" width="13.28515625" style="3" bestFit="1" customWidth="1"/>
    <col min="16" max="16" width="32.7109375" style="3" bestFit="1" customWidth="1"/>
    <col min="17" max="17" width="13.28515625" style="3" bestFit="1" customWidth="1"/>
    <col min="18" max="18" width="32.7109375" style="3" bestFit="1" customWidth="1"/>
    <col min="19" max="19" width="13.28515625" style="3" bestFit="1" customWidth="1"/>
    <col min="20" max="20" width="15.28515625" style="3" bestFit="1" customWidth="1"/>
    <col min="21" max="21" width="15.140625" style="3" customWidth="1"/>
    <col min="22" max="22" width="25.5703125" style="3" bestFit="1" customWidth="1"/>
    <col min="23" max="23" width="15.140625" style="3" customWidth="1"/>
    <col min="24" max="26" width="25.5703125" style="3" bestFit="1" customWidth="1"/>
    <col min="27" max="16384" width="11.42578125" style="3"/>
  </cols>
  <sheetData>
    <row r="1" spans="1:4" ht="19.5" thickBot="1" x14ac:dyDescent="0.3">
      <c r="A1" s="18" t="s">
        <v>142</v>
      </c>
      <c r="B1" s="19" t="s">
        <v>143</v>
      </c>
      <c r="C1" s="20" t="s">
        <v>144</v>
      </c>
    </row>
    <row r="2" spans="1:4" x14ac:dyDescent="0.25">
      <c r="A2" s="65" t="str">
        <f>IF('Datos de entrada'!B15&lt;&gt;0,'Datos de entrada'!B15,"")</f>
        <v/>
      </c>
      <c r="B2" s="65" t="str">
        <f>IFERROR((VLOOKUP(A2,'Información municipios'!$E$3:$I$1124,5,FALSE)),"")</f>
        <v/>
      </c>
      <c r="C2" s="83" t="str">
        <f>IFERROR(VLOOKUP(A2,'Información municipios'!$E$3:$F$1124,2,0)*((1+1.75%)^('Datos de entrada'!$B$5-2019)),"")</f>
        <v/>
      </c>
      <c r="D2" s="192">
        <f>IFERROR(B2*1,0)</f>
        <v>0</v>
      </c>
    </row>
    <row r="3" spans="1:4" x14ac:dyDescent="0.25">
      <c r="A3" s="65" t="str">
        <f>IF('Municipios Proyecto Regional'!B2&lt;&gt;0,'Municipios Proyecto Regional'!B2,"")</f>
        <v>Huila - acevedo</v>
      </c>
      <c r="B3" s="65">
        <f>IFERROR((VLOOKUP(A3,'Información municipios'!$E$3:$I$1124,5,FALSE)),"")</f>
        <v>1</v>
      </c>
      <c r="C3" s="83">
        <f>IFERROR(VLOOKUP(A3,'Información municipios'!$E$3:$F$1124,2,0)*((1+1.75%)^('Datos de entrada'!$B$5-2019)),"")</f>
        <v>2.2020459951674324E-11</v>
      </c>
      <c r="D3" s="192">
        <f t="shared" ref="D3:D66" si="0">IFERROR(B3*1,0)</f>
        <v>1</v>
      </c>
    </row>
    <row r="4" spans="1:4" x14ac:dyDescent="0.25">
      <c r="A4" s="65" t="str">
        <f>IF('Municipios Proyecto Regional'!B3&lt;&gt;0,'Municipios Proyecto Regional'!B3,"")</f>
        <v>huila - elías</v>
      </c>
      <c r="B4" s="65">
        <f>IFERROR((VLOOKUP(A4,'Información municipios'!$E$3:$I$1124,5,FALSE)),"")</f>
        <v>1</v>
      </c>
      <c r="C4" s="83">
        <f>IFERROR(VLOOKUP(A4,'Información municipios'!$E$3:$F$1124,2,0)*((1+1.75%)^('Datos de entrada'!$B$5-2019)),"")</f>
        <v>2.5815440130652566E-12</v>
      </c>
      <c r="D4" s="192">
        <f t="shared" si="0"/>
        <v>1</v>
      </c>
    </row>
    <row r="5" spans="1:4" x14ac:dyDescent="0.25">
      <c r="A5" s="65" t="str">
        <f>IF('Municipios Proyecto Regional'!B4&lt;&gt;0,'Municipios Proyecto Regional'!B4,"")</f>
        <v>Huila - Isnos</v>
      </c>
      <c r="B5" s="65">
        <f>IFERROR((VLOOKUP(A5,'Información municipios'!$E$3:$I$1124,5,FALSE)),"")</f>
        <v>1</v>
      </c>
      <c r="C5" s="83">
        <f>IFERROR(VLOOKUP(A5,'Información municipios'!$E$3:$F$1124,2,0)*((1+1.75%)^('Datos de entrada'!$B$5-2019)),"")</f>
        <v>1.7511043911733658E-11</v>
      </c>
      <c r="D5" s="192">
        <f t="shared" si="0"/>
        <v>1</v>
      </c>
    </row>
    <row r="6" spans="1:4" x14ac:dyDescent="0.25">
      <c r="A6" s="65" t="str">
        <f>IF('Municipios Proyecto Regional'!B5&lt;&gt;0,'Municipios Proyecto Regional'!B5,"")</f>
        <v>Huila - Palestina</v>
      </c>
      <c r="B6" s="65">
        <f>IFERROR((VLOOKUP(A6,'Información municipios'!$E$3:$I$1124,5,FALSE)),"")</f>
        <v>1</v>
      </c>
      <c r="C6" s="83">
        <f>IFERROR(VLOOKUP(A6,'Información municipios'!$E$3:$F$1124,2,0)*((1+1.75%)^('Datos de entrada'!$B$5-2019)),"")</f>
        <v>7.4113513927158749E-12</v>
      </c>
      <c r="D6" s="192">
        <f t="shared" si="0"/>
        <v>1</v>
      </c>
    </row>
    <row r="7" spans="1:4" x14ac:dyDescent="0.25">
      <c r="A7" s="65" t="str">
        <f>IF('Municipios Proyecto Regional'!B6&lt;&gt;0,'Municipios Proyecto Regional'!B6,"")</f>
        <v>Huila - Oporapa</v>
      </c>
      <c r="B7" s="65">
        <f>IFERROR((VLOOKUP(A7,'Información municipios'!$E$3:$I$1124,5,FALSE)),"")</f>
        <v>1</v>
      </c>
      <c r="C7" s="83">
        <f>IFERROR(VLOOKUP(A7,'Información municipios'!$E$3:$F$1124,2,0)*((1+1.75%)^('Datos de entrada'!$B$5-2019)),"")</f>
        <v>9.0912577083981403E-12</v>
      </c>
      <c r="D7" s="192">
        <f t="shared" si="0"/>
        <v>1</v>
      </c>
    </row>
    <row r="8" spans="1:4" x14ac:dyDescent="0.25">
      <c r="A8" s="65" t="str">
        <f>IF('Municipios Proyecto Regional'!B7&lt;&gt;0,'Municipios Proyecto Regional'!B7,"")</f>
        <v>Huila - Saladoblanco</v>
      </c>
      <c r="B8" s="65">
        <f>IFERROR((VLOOKUP(A8,'Información municipios'!$E$3:$I$1124,5,FALSE)),"")</f>
        <v>1</v>
      </c>
      <c r="C8" s="83">
        <f>IFERROR(VLOOKUP(A8,'Información municipios'!$E$3:$F$1124,2,0)*((1+1.75%)^('Datos de entrada'!$B$5-2019)),"")</f>
        <v>7.3223537983519997E-12</v>
      </c>
      <c r="D8" s="192">
        <f t="shared" si="0"/>
        <v>1</v>
      </c>
    </row>
    <row r="9" spans="1:4" x14ac:dyDescent="0.25">
      <c r="A9" s="65" t="str">
        <f>IF('Municipios Proyecto Regional'!B8&lt;&gt;0,'Municipios Proyecto Regional'!B8,"")</f>
        <v>Huila - San Agustín</v>
      </c>
      <c r="B9" s="65">
        <f>IFERROR((VLOOKUP(A9,'Información municipios'!$E$3:$I$1124,5,FALSE)),"")</f>
        <v>1</v>
      </c>
      <c r="C9" s="83">
        <f>IFERROR(VLOOKUP(A9,'Información municipios'!$E$3:$F$1124,2,0)*((1+1.75%)^('Datos de entrada'!$B$5-2019)),"")</f>
        <v>2.0942054618589289E-11</v>
      </c>
      <c r="D9" s="192">
        <f t="shared" si="0"/>
        <v>1</v>
      </c>
    </row>
    <row r="10" spans="1:4" x14ac:dyDescent="0.25">
      <c r="A10" s="65" t="str">
        <f>IF('Municipios Proyecto Regional'!B9&lt;&gt;0,'Municipios Proyecto Regional'!B9,"")</f>
        <v>Huila - Timaná</v>
      </c>
      <c r="B10" s="65">
        <f>IFERROR((VLOOKUP(A10,'Información municipios'!$E$3:$I$1124,5,FALSE)),"")</f>
        <v>1</v>
      </c>
      <c r="C10" s="83">
        <f>IFERROR(VLOOKUP(A10,'Información municipios'!$E$3:$F$1124,2,0)*((1+1.75%)^('Datos de entrada'!$B$5-2019)),"")</f>
        <v>1.2559708782537884E-11</v>
      </c>
      <c r="D10" s="192">
        <f t="shared" si="0"/>
        <v>1</v>
      </c>
    </row>
    <row r="11" spans="1:4" x14ac:dyDescent="0.25">
      <c r="A11" s="65" t="str">
        <f>IF('Municipios Proyecto Regional'!B10&lt;&gt;0,'Municipios Proyecto Regional'!B10,"")</f>
        <v/>
      </c>
      <c r="B11" s="65" t="str">
        <f>IFERROR((VLOOKUP(A11,'Información municipios'!$E$3:$I$1124,5,FALSE)),"")</f>
        <v/>
      </c>
      <c r="C11" s="83" t="str">
        <f>IFERROR(VLOOKUP(A11,'Información municipios'!$E$3:$F$1124,2,0)*((1+1.75%)^('Datos de entrada'!$B$5-2019)),"")</f>
        <v/>
      </c>
      <c r="D11" s="192">
        <f t="shared" si="0"/>
        <v>0</v>
      </c>
    </row>
    <row r="12" spans="1:4" x14ac:dyDescent="0.25">
      <c r="A12" s="65" t="str">
        <f>IF('Municipios Proyecto Regional'!B11&lt;&gt;0,'Municipios Proyecto Regional'!B11,"")</f>
        <v/>
      </c>
      <c r="B12" s="65" t="str">
        <f>IFERROR((VLOOKUP(A12,'Información municipios'!$E$3:$I$1124,5,FALSE)),"")</f>
        <v/>
      </c>
      <c r="C12" s="83" t="str">
        <f>IFERROR(VLOOKUP(A12,'Información municipios'!$E$3:$F$1124,2,0)*((1+1.75%)^('Datos de entrada'!$B$5-2019)),"")</f>
        <v/>
      </c>
      <c r="D12" s="192">
        <f t="shared" si="0"/>
        <v>0</v>
      </c>
    </row>
    <row r="13" spans="1:4" x14ac:dyDescent="0.25">
      <c r="A13" s="65" t="str">
        <f>IF('Municipios Proyecto Regional'!B12&lt;&gt;0,'Municipios Proyecto Regional'!B12,"")</f>
        <v/>
      </c>
      <c r="B13" s="65" t="str">
        <f>IFERROR((VLOOKUP(A13,'Información municipios'!$E$3:$I$1124,5,FALSE)),"")</f>
        <v/>
      </c>
      <c r="C13" s="83" t="str">
        <f>IFERROR(VLOOKUP(A13,'Información municipios'!$E$3:$F$1124,2,0)*((1+1.75%)^('Datos de entrada'!$B$5-2019)),"")</f>
        <v/>
      </c>
      <c r="D13" s="192">
        <f t="shared" si="0"/>
        <v>0</v>
      </c>
    </row>
    <row r="14" spans="1:4" x14ac:dyDescent="0.25">
      <c r="A14" s="65" t="str">
        <f>IF('Municipios Proyecto Regional'!B13&lt;&gt;0,'Municipios Proyecto Regional'!B13,"")</f>
        <v/>
      </c>
      <c r="B14" s="65" t="str">
        <f>IFERROR((VLOOKUP(A14,'Información municipios'!$E$3:$I$1124,5,FALSE)),"")</f>
        <v/>
      </c>
      <c r="C14" s="83" t="str">
        <f>IFERROR(VLOOKUP(A14,'Información municipios'!$E$3:$F$1124,2,0)*((1+1.75%)^('Datos de entrada'!$B$5-2019)),"")</f>
        <v/>
      </c>
      <c r="D14" s="192">
        <f t="shared" si="0"/>
        <v>0</v>
      </c>
    </row>
    <row r="15" spans="1:4" x14ac:dyDescent="0.25">
      <c r="A15" s="65" t="str">
        <f>IF('Municipios Proyecto Regional'!B14&lt;&gt;0,'Municipios Proyecto Regional'!B14,"")</f>
        <v/>
      </c>
      <c r="B15" s="65" t="str">
        <f>IFERROR((VLOOKUP(A15,'Información municipios'!$E$3:$I$1124,5,FALSE)),"")</f>
        <v/>
      </c>
      <c r="C15" s="83" t="str">
        <f>IFERROR(VLOOKUP(A15,'Información municipios'!$E$3:$F$1124,2,0)*((1+1.75%)^('Datos de entrada'!$B$5-2019)),"")</f>
        <v/>
      </c>
      <c r="D15" s="192">
        <f t="shared" si="0"/>
        <v>0</v>
      </c>
    </row>
    <row r="16" spans="1:4" x14ac:dyDescent="0.25">
      <c r="A16" s="65" t="str">
        <f>IF('Municipios Proyecto Regional'!B15&lt;&gt;0,'Municipios Proyecto Regional'!B15,"")</f>
        <v/>
      </c>
      <c r="B16" s="65" t="str">
        <f>IFERROR((VLOOKUP(A16,'Información municipios'!$E$3:$I$1124,5,FALSE)),"")</f>
        <v/>
      </c>
      <c r="C16" s="83" t="str">
        <f>IFERROR(VLOOKUP(A16,'Información municipios'!$E$3:$F$1124,2,0)*((1+1.75%)^('Datos de entrada'!$B$5-2019)),"")</f>
        <v/>
      </c>
      <c r="D16" s="192">
        <f t="shared" si="0"/>
        <v>0</v>
      </c>
    </row>
    <row r="17" spans="1:4" x14ac:dyDescent="0.25">
      <c r="A17" s="65" t="str">
        <f>IF('Municipios Proyecto Regional'!B16&lt;&gt;0,'Municipios Proyecto Regional'!B16,"")</f>
        <v/>
      </c>
      <c r="B17" s="65" t="str">
        <f>IFERROR((VLOOKUP(A17,'Información municipios'!$E$3:$I$1124,5,FALSE)),"")</f>
        <v/>
      </c>
      <c r="C17" s="83" t="str">
        <f>IFERROR(VLOOKUP(A17,'Información municipios'!$E$3:$F$1124,2,0)*((1+1.75%)^('Datos de entrada'!$B$5-2019)),"")</f>
        <v/>
      </c>
      <c r="D17" s="192">
        <f t="shared" si="0"/>
        <v>0</v>
      </c>
    </row>
    <row r="18" spans="1:4" x14ac:dyDescent="0.25">
      <c r="A18" s="65" t="str">
        <f>IF('Municipios Proyecto Regional'!B17&lt;&gt;0,'Municipios Proyecto Regional'!B17,"")</f>
        <v/>
      </c>
      <c r="B18" s="65" t="str">
        <f>IFERROR((VLOOKUP(A18,'Información municipios'!$E$3:$I$1124,5,FALSE)),"")</f>
        <v/>
      </c>
      <c r="C18" s="83" t="str">
        <f>IFERROR(VLOOKUP(A18,'Información municipios'!$E$3:$F$1124,2,0)*((1+1.75%)^('Datos de entrada'!$B$5-2019)),"")</f>
        <v/>
      </c>
      <c r="D18" s="192">
        <f t="shared" si="0"/>
        <v>0</v>
      </c>
    </row>
    <row r="19" spans="1:4" x14ac:dyDescent="0.25">
      <c r="A19" s="65" t="str">
        <f>IF('Municipios Proyecto Regional'!B18&lt;&gt;0,'Municipios Proyecto Regional'!B18,"")</f>
        <v/>
      </c>
      <c r="B19" s="65" t="str">
        <f>IFERROR((VLOOKUP(A19,'Información municipios'!$E$3:$I$1124,5,FALSE)),"")</f>
        <v/>
      </c>
      <c r="C19" s="83" t="str">
        <f>IFERROR(VLOOKUP(A19,'Información municipios'!$E$3:$F$1124,2,0)*((1+1.75%)^('Datos de entrada'!$B$5-2019)),"")</f>
        <v/>
      </c>
      <c r="D19" s="192">
        <f t="shared" si="0"/>
        <v>0</v>
      </c>
    </row>
    <row r="20" spans="1:4" x14ac:dyDescent="0.25">
      <c r="A20" s="65" t="str">
        <f>IF('Municipios Proyecto Regional'!B19&lt;&gt;0,'Municipios Proyecto Regional'!B19,"")</f>
        <v/>
      </c>
      <c r="B20" s="65" t="str">
        <f>IFERROR((VLOOKUP(A20,'Información municipios'!$E$3:$I$1124,5,FALSE)),"")</f>
        <v/>
      </c>
      <c r="C20" s="83" t="str">
        <f>IFERROR(VLOOKUP(A20,'Información municipios'!$E$3:$F$1124,2,0)*((1+1.75%)^('Datos de entrada'!$B$5-2019)),"")</f>
        <v/>
      </c>
      <c r="D20" s="192">
        <f t="shared" si="0"/>
        <v>0</v>
      </c>
    </row>
    <row r="21" spans="1:4" x14ac:dyDescent="0.25">
      <c r="A21" s="65" t="str">
        <f>IF('Municipios Proyecto Regional'!B20&lt;&gt;0,'Municipios Proyecto Regional'!B20,"")</f>
        <v/>
      </c>
      <c r="B21" s="65" t="str">
        <f>IFERROR((VLOOKUP(A21,'Información municipios'!$E$3:$I$1124,5,FALSE)),"")</f>
        <v/>
      </c>
      <c r="C21" s="83" t="str">
        <f>IFERROR(VLOOKUP(A21,'Información municipios'!$E$3:$F$1124,2,0)*((1+1.75%)^('Datos de entrada'!$B$5-2019)),"")</f>
        <v/>
      </c>
      <c r="D21" s="192">
        <f t="shared" si="0"/>
        <v>0</v>
      </c>
    </row>
    <row r="22" spans="1:4" x14ac:dyDescent="0.25">
      <c r="A22" s="65" t="str">
        <f>IF('Municipios Proyecto Regional'!B21&lt;&gt;0,'Municipios Proyecto Regional'!B21,"")</f>
        <v/>
      </c>
      <c r="B22" s="65" t="str">
        <f>IFERROR((VLOOKUP(A22,'Información municipios'!$E$3:$I$1124,5,FALSE)),"")</f>
        <v/>
      </c>
      <c r="C22" s="83" t="str">
        <f>IFERROR(VLOOKUP(A22,'Información municipios'!$E$3:$F$1124,2,0)*((1+1.75%)^('Datos de entrada'!$B$5-2019)),"")</f>
        <v/>
      </c>
      <c r="D22" s="192">
        <f t="shared" si="0"/>
        <v>0</v>
      </c>
    </row>
    <row r="23" spans="1:4" x14ac:dyDescent="0.25">
      <c r="A23" s="65" t="str">
        <f>IF('Municipios Proyecto Regional'!B22&lt;&gt;0,'Municipios Proyecto Regional'!B22,"")</f>
        <v/>
      </c>
      <c r="B23" s="65" t="str">
        <f>IFERROR((VLOOKUP(A23,'Información municipios'!$E$3:$I$1124,5,FALSE)),"")</f>
        <v/>
      </c>
      <c r="C23" s="83" t="str">
        <f>IFERROR(VLOOKUP(A23,'Información municipios'!$E$3:$F$1124,2,0)*((1+1.75%)^('Datos de entrada'!$B$5-2019)),"")</f>
        <v/>
      </c>
      <c r="D23" s="192">
        <f t="shared" si="0"/>
        <v>0</v>
      </c>
    </row>
    <row r="24" spans="1:4" x14ac:dyDescent="0.25">
      <c r="A24" s="65" t="str">
        <f>IF('Municipios Proyecto Regional'!B23&lt;&gt;0,'Municipios Proyecto Regional'!B23,"")</f>
        <v/>
      </c>
      <c r="B24" s="65" t="str">
        <f>IFERROR((VLOOKUP(A24,'Información municipios'!$E$3:$I$1124,5,FALSE)),"")</f>
        <v/>
      </c>
      <c r="C24" s="83" t="str">
        <f>IFERROR(VLOOKUP(A24,'Información municipios'!$E$3:$F$1124,2,0)*((1+1.75%)^('Datos de entrada'!$B$5-2019)),"")</f>
        <v/>
      </c>
      <c r="D24" s="192">
        <f t="shared" si="0"/>
        <v>0</v>
      </c>
    </row>
    <row r="25" spans="1:4" x14ac:dyDescent="0.25">
      <c r="A25" s="65" t="str">
        <f>IF('Municipios Proyecto Regional'!B24&lt;&gt;0,'Municipios Proyecto Regional'!B24,"")</f>
        <v/>
      </c>
      <c r="B25" s="65" t="str">
        <f>IFERROR((VLOOKUP(A25,'Información municipios'!$E$3:$I$1124,5,FALSE)),"")</f>
        <v/>
      </c>
      <c r="C25" s="83" t="str">
        <f>IFERROR(VLOOKUP(A25,'Información municipios'!$E$3:$F$1124,2,0)*((1+1.75%)^('Datos de entrada'!$B$5-2019)),"")</f>
        <v/>
      </c>
      <c r="D25" s="192">
        <f t="shared" si="0"/>
        <v>0</v>
      </c>
    </row>
    <row r="26" spans="1:4" x14ac:dyDescent="0.25">
      <c r="A26" s="65" t="str">
        <f>IF('Municipios Proyecto Regional'!B25&lt;&gt;0,'Municipios Proyecto Regional'!B25,"")</f>
        <v/>
      </c>
      <c r="B26" s="65" t="str">
        <f>IFERROR((VLOOKUP(A26,'Información municipios'!$E$3:$I$1124,5,FALSE)),"")</f>
        <v/>
      </c>
      <c r="C26" s="83" t="str">
        <f>IFERROR(VLOOKUP(A26,'Información municipios'!$E$3:$F$1124,2,0)*((1+1.75%)^('Datos de entrada'!$B$5-2019)),"")</f>
        <v/>
      </c>
      <c r="D26" s="192">
        <f t="shared" si="0"/>
        <v>0</v>
      </c>
    </row>
    <row r="27" spans="1:4" x14ac:dyDescent="0.25">
      <c r="A27" s="65" t="str">
        <f>IF('Municipios Proyecto Regional'!B26&lt;&gt;0,'Municipios Proyecto Regional'!B26,"")</f>
        <v/>
      </c>
      <c r="B27" s="65" t="str">
        <f>IFERROR((VLOOKUP(A27,'Información municipios'!$E$3:$I$1124,5,FALSE)),"")</f>
        <v/>
      </c>
      <c r="C27" s="83" t="str">
        <f>IFERROR(VLOOKUP(A27,'Información municipios'!$E$3:$F$1124,2,0)*((1+1.75%)^('Datos de entrada'!$B$5-2019)),"")</f>
        <v/>
      </c>
      <c r="D27" s="192">
        <f t="shared" si="0"/>
        <v>0</v>
      </c>
    </row>
    <row r="28" spans="1:4" x14ac:dyDescent="0.25">
      <c r="A28" s="65" t="str">
        <f>IF('Municipios Proyecto Regional'!B27&lt;&gt;0,'Municipios Proyecto Regional'!B27,"")</f>
        <v/>
      </c>
      <c r="B28" s="65" t="str">
        <f>IFERROR((VLOOKUP(A28,'Información municipios'!$E$3:$I$1124,5,FALSE)),"")</f>
        <v/>
      </c>
      <c r="C28" s="83" t="str">
        <f>IFERROR(VLOOKUP(A28,'Información municipios'!$E$3:$F$1124,2,0)*((1+1.75%)^('Datos de entrada'!$B$5-2019)),"")</f>
        <v/>
      </c>
      <c r="D28" s="192">
        <f t="shared" si="0"/>
        <v>0</v>
      </c>
    </row>
    <row r="29" spans="1:4" x14ac:dyDescent="0.25">
      <c r="A29" s="65" t="str">
        <f>IF('Municipios Proyecto Regional'!B28&lt;&gt;0,'Municipios Proyecto Regional'!B28,"")</f>
        <v/>
      </c>
      <c r="B29" s="65" t="str">
        <f>IFERROR((VLOOKUP(A29,'Información municipios'!$E$3:$I$1124,5,FALSE)),"")</f>
        <v/>
      </c>
      <c r="C29" s="83" t="str">
        <f>IFERROR(VLOOKUP(A29,'Información municipios'!$E$3:$F$1124,2,0)*((1+1.75%)^('Datos de entrada'!$B$5-2019)),"")</f>
        <v/>
      </c>
      <c r="D29" s="192">
        <f t="shared" si="0"/>
        <v>0</v>
      </c>
    </row>
    <row r="30" spans="1:4" x14ac:dyDescent="0.25">
      <c r="A30" s="65" t="str">
        <f>IF('Municipios Proyecto Regional'!B29&lt;&gt;0,'Municipios Proyecto Regional'!B29,"")</f>
        <v/>
      </c>
      <c r="B30" s="65" t="str">
        <f>IFERROR((VLOOKUP(A30,'Información municipios'!$E$3:$I$1124,5,FALSE)),"")</f>
        <v/>
      </c>
      <c r="C30" s="83" t="str">
        <f>IFERROR(VLOOKUP(A30,'Información municipios'!$E$3:$F$1124,2,0)*((1+1.75%)^('Datos de entrada'!$B$5-2019)),"")</f>
        <v/>
      </c>
      <c r="D30" s="192">
        <f t="shared" si="0"/>
        <v>0</v>
      </c>
    </row>
    <row r="31" spans="1:4" x14ac:dyDescent="0.25">
      <c r="A31" s="65" t="str">
        <f>IF('Municipios Proyecto Regional'!B30&lt;&gt;0,'Municipios Proyecto Regional'!B30,"")</f>
        <v/>
      </c>
      <c r="B31" s="65" t="str">
        <f>IFERROR((VLOOKUP(A31,'Información municipios'!$E$3:$I$1124,5,FALSE)),"")</f>
        <v/>
      </c>
      <c r="C31" s="83" t="str">
        <f>IFERROR(VLOOKUP(A31,'Información municipios'!$E$3:$F$1124,2,0)*((1+1.75%)^('Datos de entrada'!$B$5-2019)),"")</f>
        <v/>
      </c>
      <c r="D31" s="192">
        <f t="shared" si="0"/>
        <v>0</v>
      </c>
    </row>
    <row r="32" spans="1:4" x14ac:dyDescent="0.25">
      <c r="A32" s="65" t="str">
        <f>IF('Municipios Proyecto Regional'!B31&lt;&gt;0,'Municipios Proyecto Regional'!B31,"")</f>
        <v/>
      </c>
      <c r="B32" s="65" t="str">
        <f>IFERROR((VLOOKUP(A32,'Información municipios'!$E$3:$I$1124,5,FALSE)),"")</f>
        <v/>
      </c>
      <c r="C32" s="83" t="str">
        <f>IFERROR(VLOOKUP(A32,'Información municipios'!$E$3:$F$1124,2,0)*((1+1.75%)^('Datos de entrada'!$B$5-2019)),"")</f>
        <v/>
      </c>
      <c r="D32" s="192">
        <f t="shared" si="0"/>
        <v>0</v>
      </c>
    </row>
    <row r="33" spans="1:4" x14ac:dyDescent="0.25">
      <c r="A33" s="65" t="str">
        <f>IF('Municipios Proyecto Regional'!B32&lt;&gt;0,'Municipios Proyecto Regional'!B32,"")</f>
        <v/>
      </c>
      <c r="B33" s="65" t="str">
        <f>IFERROR((VLOOKUP(A33,'Información municipios'!$E$3:$I$1124,5,FALSE)),"")</f>
        <v/>
      </c>
      <c r="C33" s="83" t="str">
        <f>IFERROR(VLOOKUP(A33,'Información municipios'!$E$3:$F$1124,2,0)*((1+1.75%)^('Datos de entrada'!$B$5-2019)),"")</f>
        <v/>
      </c>
      <c r="D33" s="192">
        <f t="shared" si="0"/>
        <v>0</v>
      </c>
    </row>
    <row r="34" spans="1:4" x14ac:dyDescent="0.25">
      <c r="A34" s="65" t="str">
        <f>IF('Municipios Proyecto Regional'!B33&lt;&gt;0,'Municipios Proyecto Regional'!B33,"")</f>
        <v/>
      </c>
      <c r="B34" s="65" t="str">
        <f>IFERROR((VLOOKUP(A34,'Información municipios'!$E$3:$I$1124,5,FALSE)),"")</f>
        <v/>
      </c>
      <c r="C34" s="83" t="str">
        <f>IFERROR(VLOOKUP(A34,'Información municipios'!$E$3:$F$1124,2,0)*((1+1.75%)^('Datos de entrada'!$B$5-2019)),"")</f>
        <v/>
      </c>
      <c r="D34" s="192">
        <f t="shared" si="0"/>
        <v>0</v>
      </c>
    </row>
    <row r="35" spans="1:4" x14ac:dyDescent="0.25">
      <c r="A35" s="65" t="str">
        <f>IF('Municipios Proyecto Regional'!B34&lt;&gt;0,'Municipios Proyecto Regional'!B34,"")</f>
        <v/>
      </c>
      <c r="B35" s="65" t="str">
        <f>IFERROR((VLOOKUP(A35,'Información municipios'!$E$3:$I$1124,5,FALSE)),"")</f>
        <v/>
      </c>
      <c r="C35" s="83" t="str">
        <f>IFERROR(VLOOKUP(A35,'Información municipios'!$E$3:$F$1124,2,0)*((1+1.75%)^('Datos de entrada'!$B$5-2019)),"")</f>
        <v/>
      </c>
      <c r="D35" s="192">
        <f t="shared" si="0"/>
        <v>0</v>
      </c>
    </row>
    <row r="36" spans="1:4" x14ac:dyDescent="0.25">
      <c r="A36" s="65" t="str">
        <f>IF('Municipios Proyecto Regional'!B35&lt;&gt;0,'Municipios Proyecto Regional'!B35,"")</f>
        <v/>
      </c>
      <c r="B36" s="65" t="str">
        <f>IFERROR((VLOOKUP(A36,'Información municipios'!$E$3:$I$1124,5,FALSE)),"")</f>
        <v/>
      </c>
      <c r="C36" s="83" t="str">
        <f>IFERROR(VLOOKUP(A36,'Información municipios'!$E$3:$F$1124,2,0)*((1+1.75%)^('Datos de entrada'!$B$5-2019)),"")</f>
        <v/>
      </c>
      <c r="D36" s="192">
        <f t="shared" si="0"/>
        <v>0</v>
      </c>
    </row>
    <row r="37" spans="1:4" x14ac:dyDescent="0.25">
      <c r="A37" s="65" t="str">
        <f>IF('Municipios Proyecto Regional'!B36&lt;&gt;0,'Municipios Proyecto Regional'!B36,"")</f>
        <v/>
      </c>
      <c r="B37" s="65" t="str">
        <f>IFERROR((VLOOKUP(A37,'Información municipios'!$E$3:$I$1124,5,FALSE)),"")</f>
        <v/>
      </c>
      <c r="C37" s="83" t="str">
        <f>IFERROR(VLOOKUP(A37,'Información municipios'!$E$3:$F$1124,2,0)*((1+1.75%)^('Datos de entrada'!$B$5-2019)),"")</f>
        <v/>
      </c>
      <c r="D37" s="192">
        <f t="shared" si="0"/>
        <v>0</v>
      </c>
    </row>
    <row r="38" spans="1:4" x14ac:dyDescent="0.25">
      <c r="A38" s="65" t="str">
        <f>IF('Municipios Proyecto Regional'!B37&lt;&gt;0,'Municipios Proyecto Regional'!B37,"")</f>
        <v/>
      </c>
      <c r="B38" s="65" t="str">
        <f>IFERROR((VLOOKUP(A38,'Información municipios'!$E$3:$I$1124,5,FALSE)),"")</f>
        <v/>
      </c>
      <c r="C38" s="83" t="str">
        <f>IFERROR(VLOOKUP(A38,'Información municipios'!$E$3:$F$1124,2,0)*((1+1.75%)^('Datos de entrada'!$B$5-2019)),"")</f>
        <v/>
      </c>
      <c r="D38" s="192">
        <f t="shared" si="0"/>
        <v>0</v>
      </c>
    </row>
    <row r="39" spans="1:4" x14ac:dyDescent="0.25">
      <c r="A39" s="65" t="str">
        <f>IF('Municipios Proyecto Regional'!B38&lt;&gt;0,'Municipios Proyecto Regional'!B38,"")</f>
        <v/>
      </c>
      <c r="B39" s="65" t="str">
        <f>IFERROR((VLOOKUP(A39,'Información municipios'!$E$3:$I$1124,5,FALSE)),"")</f>
        <v/>
      </c>
      <c r="C39" s="83" t="str">
        <f>IFERROR(VLOOKUP(A39,'Información municipios'!$E$3:$F$1124,2,0)*((1+1.75%)^('Datos de entrada'!$B$5-2019)),"")</f>
        <v/>
      </c>
      <c r="D39" s="192">
        <f t="shared" si="0"/>
        <v>0</v>
      </c>
    </row>
    <row r="40" spans="1:4" x14ac:dyDescent="0.25">
      <c r="A40" s="65" t="str">
        <f>IF('Municipios Proyecto Regional'!B39&lt;&gt;0,'Municipios Proyecto Regional'!B39,"")</f>
        <v/>
      </c>
      <c r="B40" s="65" t="str">
        <f>IFERROR((VLOOKUP(A40,'Información municipios'!$E$3:$I$1124,5,FALSE)),"")</f>
        <v/>
      </c>
      <c r="C40" s="83" t="str">
        <f>IFERROR(VLOOKUP(A40,'Información municipios'!$E$3:$F$1124,2,0)*((1+1.75%)^('Datos de entrada'!$B$5-2019)),"")</f>
        <v/>
      </c>
      <c r="D40" s="192">
        <f t="shared" si="0"/>
        <v>0</v>
      </c>
    </row>
    <row r="41" spans="1:4" x14ac:dyDescent="0.25">
      <c r="A41" s="65" t="str">
        <f>IF('Municipios Proyecto Regional'!B40&lt;&gt;0,'Municipios Proyecto Regional'!B40,"")</f>
        <v/>
      </c>
      <c r="B41" s="65" t="str">
        <f>IFERROR((VLOOKUP(A41,'Información municipios'!$E$3:$I$1124,5,FALSE)),"")</f>
        <v/>
      </c>
      <c r="C41" s="83" t="str">
        <f>IFERROR(VLOOKUP(A41,'Información municipios'!$E$3:$F$1124,2,0)*((1+1.75%)^('Datos de entrada'!$B$5-2019)),"")</f>
        <v/>
      </c>
      <c r="D41" s="192">
        <f t="shared" si="0"/>
        <v>0</v>
      </c>
    </row>
    <row r="42" spans="1:4" x14ac:dyDescent="0.25">
      <c r="A42" s="65" t="str">
        <f>IF('Municipios Proyecto Regional'!B41&lt;&gt;0,'Municipios Proyecto Regional'!B41,"")</f>
        <v/>
      </c>
      <c r="B42" s="65" t="str">
        <f>IFERROR((VLOOKUP(A42,'Información municipios'!$E$3:$I$1124,5,FALSE)),"")</f>
        <v/>
      </c>
      <c r="C42" s="83" t="str">
        <f>IFERROR(VLOOKUP(A42,'Información municipios'!$E$3:$F$1124,2,0)*((1+1.75%)^('Datos de entrada'!$B$5-2019)),"")</f>
        <v/>
      </c>
      <c r="D42" s="192">
        <f t="shared" si="0"/>
        <v>0</v>
      </c>
    </row>
    <row r="43" spans="1:4" x14ac:dyDescent="0.25">
      <c r="A43" s="65" t="str">
        <f>IF('Municipios Proyecto Regional'!B42&lt;&gt;0,'Municipios Proyecto Regional'!B42,"")</f>
        <v/>
      </c>
      <c r="B43" s="65" t="str">
        <f>IFERROR((VLOOKUP(A43,'Información municipios'!$E$3:$I$1124,5,FALSE)),"")</f>
        <v/>
      </c>
      <c r="C43" s="83" t="str">
        <f>IFERROR(VLOOKUP(A43,'Información municipios'!$E$3:$F$1124,2,0)*((1+1.75%)^('Datos de entrada'!$B$5-2019)),"")</f>
        <v/>
      </c>
      <c r="D43" s="192">
        <f t="shared" si="0"/>
        <v>0</v>
      </c>
    </row>
    <row r="44" spans="1:4" x14ac:dyDescent="0.25">
      <c r="A44" s="65" t="str">
        <f>IF('Municipios Proyecto Regional'!B43&lt;&gt;0,'Municipios Proyecto Regional'!B43,"")</f>
        <v/>
      </c>
      <c r="B44" s="65" t="str">
        <f>IFERROR((VLOOKUP(A44,'Información municipios'!$E$3:$I$1124,5,FALSE)),"")</f>
        <v/>
      </c>
      <c r="C44" s="83" t="str">
        <f>IFERROR(VLOOKUP(A44,'Información municipios'!$E$3:$F$1124,2,0)*((1+1.75%)^('Datos de entrada'!$B$5-2019)),"")</f>
        <v/>
      </c>
      <c r="D44" s="192">
        <f t="shared" si="0"/>
        <v>0</v>
      </c>
    </row>
    <row r="45" spans="1:4" x14ac:dyDescent="0.25">
      <c r="A45" s="65" t="str">
        <f>IF('Municipios Proyecto Regional'!B44&lt;&gt;0,'Municipios Proyecto Regional'!B44,"")</f>
        <v/>
      </c>
      <c r="B45" s="65" t="str">
        <f>IFERROR((VLOOKUP(A45,'Información municipios'!$E$3:$I$1124,5,FALSE)),"")</f>
        <v/>
      </c>
      <c r="C45" s="83" t="str">
        <f>IFERROR(VLOOKUP(A45,'Información municipios'!$E$3:$F$1124,2,0)*((1+1.75%)^('Datos de entrada'!$B$5-2019)),"")</f>
        <v/>
      </c>
      <c r="D45" s="192">
        <f t="shared" si="0"/>
        <v>0</v>
      </c>
    </row>
    <row r="46" spans="1:4" x14ac:dyDescent="0.25">
      <c r="A46" s="65" t="str">
        <f>IF('Municipios Proyecto Regional'!B45&lt;&gt;0,'Municipios Proyecto Regional'!B45,"")</f>
        <v/>
      </c>
      <c r="B46" s="65" t="str">
        <f>IFERROR((VLOOKUP(A46,'Información municipios'!$E$3:$I$1124,5,FALSE)),"")</f>
        <v/>
      </c>
      <c r="C46" s="83" t="str">
        <f>IFERROR(VLOOKUP(A46,'Información municipios'!$E$3:$F$1124,2,0)*((1+1.75%)^('Datos de entrada'!$B$5-2019)),"")</f>
        <v/>
      </c>
      <c r="D46" s="192">
        <f t="shared" si="0"/>
        <v>0</v>
      </c>
    </row>
    <row r="47" spans="1:4" x14ac:dyDescent="0.25">
      <c r="A47" s="65" t="str">
        <f>IF('Municipios Proyecto Regional'!B46&lt;&gt;0,'Municipios Proyecto Regional'!B46,"")</f>
        <v/>
      </c>
      <c r="B47" s="65" t="str">
        <f>IFERROR((VLOOKUP(A47,'Información municipios'!$E$3:$I$1124,5,FALSE)),"")</f>
        <v/>
      </c>
      <c r="C47" s="83" t="str">
        <f>IFERROR(VLOOKUP(A47,'Información municipios'!$E$3:$F$1124,2,0)*((1+1.75%)^('Datos de entrada'!$B$5-2019)),"")</f>
        <v/>
      </c>
      <c r="D47" s="192">
        <f t="shared" si="0"/>
        <v>0</v>
      </c>
    </row>
    <row r="48" spans="1:4" x14ac:dyDescent="0.25">
      <c r="A48" s="65" t="str">
        <f>IF('Municipios Proyecto Regional'!B47&lt;&gt;0,'Municipios Proyecto Regional'!B47,"")</f>
        <v/>
      </c>
      <c r="B48" s="65" t="str">
        <f>IFERROR((VLOOKUP(A48,'Información municipios'!$E$3:$I$1124,5,FALSE)),"")</f>
        <v/>
      </c>
      <c r="C48" s="83" t="str">
        <f>IFERROR(VLOOKUP(A48,'Información municipios'!$E$3:$F$1124,2,0)*((1+1.75%)^('Datos de entrada'!$B$5-2019)),"")</f>
        <v/>
      </c>
      <c r="D48" s="192">
        <f t="shared" si="0"/>
        <v>0</v>
      </c>
    </row>
    <row r="49" spans="1:4" x14ac:dyDescent="0.25">
      <c r="A49" s="65" t="str">
        <f>IF('Municipios Proyecto Regional'!B48&lt;&gt;0,'Municipios Proyecto Regional'!B48,"")</f>
        <v/>
      </c>
      <c r="B49" s="65" t="str">
        <f>IFERROR((VLOOKUP(A49,'Información municipios'!$E$3:$I$1124,5,FALSE)),"")</f>
        <v/>
      </c>
      <c r="C49" s="83" t="str">
        <f>IFERROR(VLOOKUP(A49,'Información municipios'!$E$3:$F$1124,2,0)*((1+1.75%)^('Datos de entrada'!$B$5-2019)),"")</f>
        <v/>
      </c>
      <c r="D49" s="192">
        <f t="shared" si="0"/>
        <v>0</v>
      </c>
    </row>
    <row r="50" spans="1:4" x14ac:dyDescent="0.25">
      <c r="A50" s="65" t="str">
        <f>IF('Municipios Proyecto Regional'!B49&lt;&gt;0,'Municipios Proyecto Regional'!B49,"")</f>
        <v/>
      </c>
      <c r="B50" s="65" t="str">
        <f>IFERROR((VLOOKUP(A50,'Información municipios'!$E$3:$I$1124,5,FALSE)),"")</f>
        <v/>
      </c>
      <c r="C50" s="83" t="str">
        <f>IFERROR(VLOOKUP(A50,'Información municipios'!$E$3:$F$1124,2,0)*((1+1.75%)^('Datos de entrada'!$B$5-2019)),"")</f>
        <v/>
      </c>
      <c r="D50" s="192">
        <f t="shared" si="0"/>
        <v>0</v>
      </c>
    </row>
    <row r="51" spans="1:4" x14ac:dyDescent="0.25">
      <c r="A51" s="65" t="str">
        <f>IF('Municipios Proyecto Regional'!B50&lt;&gt;0,'Municipios Proyecto Regional'!B50,"")</f>
        <v/>
      </c>
      <c r="B51" s="65" t="str">
        <f>IFERROR((VLOOKUP(A51,'Información municipios'!$E$3:$I$1124,5,FALSE)),"")</f>
        <v/>
      </c>
      <c r="C51" s="83" t="str">
        <f>IFERROR(VLOOKUP(A51,'Información municipios'!$E$3:$F$1124,2,0)*((1+1.75%)^('Datos de entrada'!$B$5-2019)),"")</f>
        <v/>
      </c>
      <c r="D51" s="192">
        <f t="shared" si="0"/>
        <v>0</v>
      </c>
    </row>
    <row r="52" spans="1:4" x14ac:dyDescent="0.25">
      <c r="A52" s="65" t="str">
        <f>IF('Municipios Proyecto Regional'!B51&lt;&gt;0,'Municipios Proyecto Regional'!B51,"")</f>
        <v/>
      </c>
      <c r="B52" s="65" t="str">
        <f>IFERROR((VLOOKUP(A52,'Información municipios'!$E$3:$I$1124,5,FALSE)),"")</f>
        <v/>
      </c>
      <c r="C52" s="83" t="str">
        <f>IFERROR(VLOOKUP(A52,'Información municipios'!$E$3:$F$1124,2,0)*((1+1.75%)^('Datos de entrada'!$B$5-2019)),"")</f>
        <v/>
      </c>
      <c r="D52" s="192">
        <f t="shared" si="0"/>
        <v>0</v>
      </c>
    </row>
    <row r="53" spans="1:4" x14ac:dyDescent="0.25">
      <c r="A53" s="65" t="str">
        <f>IF('Municipios Proyecto Regional'!B52&lt;&gt;0,'Municipios Proyecto Regional'!B52,"")</f>
        <v/>
      </c>
      <c r="B53" s="65" t="str">
        <f>IFERROR((VLOOKUP(A53,'Información municipios'!$E$3:$I$1124,5,FALSE)),"")</f>
        <v/>
      </c>
      <c r="C53" s="83" t="str">
        <f>IFERROR(VLOOKUP(A53,'Información municipios'!$E$3:$F$1124,2,0)*((1+1.75%)^('Datos de entrada'!$B$5-2019)),"")</f>
        <v/>
      </c>
      <c r="D53" s="192">
        <f t="shared" si="0"/>
        <v>0</v>
      </c>
    </row>
    <row r="54" spans="1:4" x14ac:dyDescent="0.25">
      <c r="A54" s="65" t="str">
        <f>IF('Municipios Proyecto Regional'!B53&lt;&gt;0,'Municipios Proyecto Regional'!B53,"")</f>
        <v/>
      </c>
      <c r="B54" s="65" t="str">
        <f>IFERROR((VLOOKUP(A54,'Información municipios'!$E$3:$I$1124,5,FALSE)),"")</f>
        <v/>
      </c>
      <c r="C54" s="83" t="str">
        <f>IFERROR(VLOOKUP(A54,'Información municipios'!$E$3:$F$1124,2,0)*((1+1.75%)^('Datos de entrada'!$B$5-2019)),"")</f>
        <v/>
      </c>
      <c r="D54" s="192">
        <f t="shared" si="0"/>
        <v>0</v>
      </c>
    </row>
    <row r="55" spans="1:4" x14ac:dyDescent="0.25">
      <c r="A55" s="65" t="str">
        <f>IF('Municipios Proyecto Regional'!B54&lt;&gt;0,'Municipios Proyecto Regional'!B54,"")</f>
        <v/>
      </c>
      <c r="B55" s="65" t="str">
        <f>IFERROR((VLOOKUP(A55,'Información municipios'!$E$3:$I$1124,5,FALSE)),"")</f>
        <v/>
      </c>
      <c r="C55" s="83" t="str">
        <f>IFERROR(VLOOKUP(A55,'Información municipios'!$E$3:$F$1124,2,0)*((1+1.75%)^('Datos de entrada'!$B$5-2019)),"")</f>
        <v/>
      </c>
      <c r="D55" s="192">
        <f t="shared" si="0"/>
        <v>0</v>
      </c>
    </row>
    <row r="56" spans="1:4" x14ac:dyDescent="0.25">
      <c r="A56" s="65" t="str">
        <f>IF('Municipios Proyecto Regional'!B55&lt;&gt;0,'Municipios Proyecto Regional'!B55,"")</f>
        <v/>
      </c>
      <c r="B56" s="65" t="str">
        <f>IFERROR((VLOOKUP(A56,'Información municipios'!$E$3:$I$1124,5,FALSE)),"")</f>
        <v/>
      </c>
      <c r="C56" s="83" t="str">
        <f>IFERROR(VLOOKUP(A56,'Información municipios'!$E$3:$F$1124,2,0)*((1+1.75%)^('Datos de entrada'!$B$5-2019)),"")</f>
        <v/>
      </c>
      <c r="D56" s="192">
        <f t="shared" si="0"/>
        <v>0</v>
      </c>
    </row>
    <row r="57" spans="1:4" x14ac:dyDescent="0.25">
      <c r="A57" s="65" t="str">
        <f>IF('Municipios Proyecto Regional'!B56&lt;&gt;0,'Municipios Proyecto Regional'!B56,"")</f>
        <v/>
      </c>
      <c r="B57" s="65" t="str">
        <f>IFERROR((VLOOKUP(A57,'Información municipios'!$E$3:$I$1124,5,FALSE)),"")</f>
        <v/>
      </c>
      <c r="C57" s="83" t="str">
        <f>IFERROR(VLOOKUP(A57,'Información municipios'!$E$3:$F$1124,2,0)*((1+1.75%)^('Datos de entrada'!$B$5-2019)),"")</f>
        <v/>
      </c>
      <c r="D57" s="192">
        <f t="shared" si="0"/>
        <v>0</v>
      </c>
    </row>
    <row r="58" spans="1:4" x14ac:dyDescent="0.25">
      <c r="A58" s="65" t="str">
        <f>IF('Municipios Proyecto Regional'!B57&lt;&gt;0,'Municipios Proyecto Regional'!B57,"")</f>
        <v/>
      </c>
      <c r="B58" s="65" t="str">
        <f>IFERROR((VLOOKUP(A58,'Información municipios'!$E$3:$I$1124,5,FALSE)),"")</f>
        <v/>
      </c>
      <c r="C58" s="83" t="str">
        <f>IFERROR(VLOOKUP(A58,'Información municipios'!$E$3:$F$1124,2,0)*((1+1.75%)^('Datos de entrada'!$B$5-2019)),"")</f>
        <v/>
      </c>
      <c r="D58" s="192">
        <f t="shared" si="0"/>
        <v>0</v>
      </c>
    </row>
    <row r="59" spans="1:4" x14ac:dyDescent="0.25">
      <c r="A59" s="65" t="str">
        <f>IF('Municipios Proyecto Regional'!B58&lt;&gt;0,'Municipios Proyecto Regional'!B58,"")</f>
        <v/>
      </c>
      <c r="B59" s="65" t="str">
        <f>IFERROR((VLOOKUP(A59,'Información municipios'!$E$3:$I$1124,5,FALSE)),"")</f>
        <v/>
      </c>
      <c r="C59" s="83" t="str">
        <f>IFERROR(VLOOKUP(A59,'Información municipios'!$E$3:$F$1124,2,0)*((1+1.75%)^('Datos de entrada'!$B$5-2019)),"")</f>
        <v/>
      </c>
      <c r="D59" s="192">
        <f t="shared" si="0"/>
        <v>0</v>
      </c>
    </row>
    <row r="60" spans="1:4" x14ac:dyDescent="0.25">
      <c r="A60" s="65" t="str">
        <f>IF('Municipios Proyecto Regional'!B59&lt;&gt;0,'Municipios Proyecto Regional'!B59,"")</f>
        <v/>
      </c>
      <c r="B60" s="65" t="str">
        <f>IFERROR((VLOOKUP(A60,'Información municipios'!$E$3:$I$1124,5,FALSE)),"")</f>
        <v/>
      </c>
      <c r="C60" s="83" t="str">
        <f>IFERROR(VLOOKUP(A60,'Información municipios'!$E$3:$F$1124,2,0)*((1+1.75%)^('Datos de entrada'!$B$5-2019)),"")</f>
        <v/>
      </c>
      <c r="D60" s="192">
        <f t="shared" si="0"/>
        <v>0</v>
      </c>
    </row>
    <row r="61" spans="1:4" x14ac:dyDescent="0.25">
      <c r="A61" s="65" t="str">
        <f>IF('Municipios Proyecto Regional'!B60&lt;&gt;0,'Municipios Proyecto Regional'!B60,"")</f>
        <v/>
      </c>
      <c r="B61" s="65" t="str">
        <f>IFERROR((VLOOKUP(A61,'Información municipios'!$E$3:$I$1124,5,FALSE)),"")</f>
        <v/>
      </c>
      <c r="C61" s="83" t="str">
        <f>IFERROR(VLOOKUP(A61,'Información municipios'!$E$3:$F$1124,2,0)*((1+1.75%)^('Datos de entrada'!$B$5-2019)),"")</f>
        <v/>
      </c>
      <c r="D61" s="192">
        <f t="shared" si="0"/>
        <v>0</v>
      </c>
    </row>
    <row r="62" spans="1:4" x14ac:dyDescent="0.25">
      <c r="A62" s="65" t="str">
        <f>IF('Municipios Proyecto Regional'!B61&lt;&gt;0,'Municipios Proyecto Regional'!B61,"")</f>
        <v/>
      </c>
      <c r="B62" s="65" t="str">
        <f>IFERROR((VLOOKUP(A62,'Información municipios'!$E$3:$I$1124,5,FALSE)),"")</f>
        <v/>
      </c>
      <c r="C62" s="83" t="str">
        <f>IFERROR(VLOOKUP(A62,'Información municipios'!$E$3:$F$1124,2,0)*((1+1.75%)^('Datos de entrada'!$B$5-2019)),"")</f>
        <v/>
      </c>
      <c r="D62" s="192">
        <f t="shared" si="0"/>
        <v>0</v>
      </c>
    </row>
    <row r="63" spans="1:4" x14ac:dyDescent="0.25">
      <c r="A63" s="65" t="str">
        <f>IF('Municipios Proyecto Regional'!B62&lt;&gt;0,'Municipios Proyecto Regional'!B62,"")</f>
        <v/>
      </c>
      <c r="B63" s="65" t="str">
        <f>IFERROR((VLOOKUP(A63,'Información municipios'!$E$3:$I$1124,5,FALSE)),"")</f>
        <v/>
      </c>
      <c r="C63" s="83" t="str">
        <f>IFERROR(VLOOKUP(A63,'Información municipios'!$E$3:$F$1124,2,0)*((1+1.75%)^('Datos de entrada'!$B$5-2019)),"")</f>
        <v/>
      </c>
      <c r="D63" s="192">
        <f t="shared" si="0"/>
        <v>0</v>
      </c>
    </row>
    <row r="64" spans="1:4" x14ac:dyDescent="0.25">
      <c r="A64" s="65" t="str">
        <f>IF('Municipios Proyecto Regional'!B63&lt;&gt;0,'Municipios Proyecto Regional'!B63,"")</f>
        <v/>
      </c>
      <c r="B64" s="65" t="str">
        <f>IFERROR((VLOOKUP(A64,'Información municipios'!$E$3:$I$1124,5,FALSE)),"")</f>
        <v/>
      </c>
      <c r="C64" s="83" t="str">
        <f>IFERROR(VLOOKUP(A64,'Información municipios'!$E$3:$F$1124,2,0)*((1+1.75%)^('Datos de entrada'!$B$5-2019)),"")</f>
        <v/>
      </c>
      <c r="D64" s="192">
        <f t="shared" si="0"/>
        <v>0</v>
      </c>
    </row>
    <row r="65" spans="1:4" x14ac:dyDescent="0.25">
      <c r="A65" s="65" t="str">
        <f>IF('Municipios Proyecto Regional'!B64&lt;&gt;0,'Municipios Proyecto Regional'!B64,"")</f>
        <v/>
      </c>
      <c r="B65" s="65" t="str">
        <f>IFERROR((VLOOKUP(A65,'Información municipios'!$E$3:$I$1124,5,FALSE)),"")</f>
        <v/>
      </c>
      <c r="C65" s="83" t="str">
        <f>IFERROR(VLOOKUP(A65,'Información municipios'!$E$3:$F$1124,2,0)*((1+1.75%)^('Datos de entrada'!$B$5-2019)),"")</f>
        <v/>
      </c>
      <c r="D65" s="192">
        <f t="shared" si="0"/>
        <v>0</v>
      </c>
    </row>
    <row r="66" spans="1:4" x14ac:dyDescent="0.25">
      <c r="A66" s="65" t="str">
        <f>IF('Municipios Proyecto Regional'!B65&lt;&gt;0,'Municipios Proyecto Regional'!B65,"")</f>
        <v/>
      </c>
      <c r="B66" s="65" t="str">
        <f>IFERROR((VLOOKUP(A66,'Información municipios'!$E$3:$I$1124,5,FALSE)),"")</f>
        <v/>
      </c>
      <c r="C66" s="83" t="str">
        <f>IFERROR(VLOOKUP(A66,'Información municipios'!$E$3:$F$1124,2,0)*((1+1.75%)^('Datos de entrada'!$B$5-2019)),"")</f>
        <v/>
      </c>
      <c r="D66" s="192">
        <f t="shared" si="0"/>
        <v>0</v>
      </c>
    </row>
    <row r="67" spans="1:4" x14ac:dyDescent="0.25">
      <c r="A67" s="65" t="str">
        <f>IF('Municipios Proyecto Regional'!B66&lt;&gt;0,'Municipios Proyecto Regional'!B66,"")</f>
        <v/>
      </c>
      <c r="B67" s="65" t="str">
        <f>IFERROR((VLOOKUP(A67,'Información municipios'!$E$3:$I$1124,5,FALSE)),"")</f>
        <v/>
      </c>
      <c r="C67" s="83" t="str">
        <f>IFERROR(VLOOKUP(A67,'Información municipios'!$E$3:$F$1124,2,0)*((1+1.75%)^('Datos de entrada'!$B$5-2019)),"")</f>
        <v/>
      </c>
      <c r="D67" s="192">
        <f t="shared" ref="D67:D121" si="1">IFERROR(B67*1,0)</f>
        <v>0</v>
      </c>
    </row>
    <row r="68" spans="1:4" x14ac:dyDescent="0.25">
      <c r="A68" s="65" t="str">
        <f>IF('Municipios Proyecto Regional'!B67&lt;&gt;0,'Municipios Proyecto Regional'!B67,"")</f>
        <v/>
      </c>
      <c r="B68" s="65" t="str">
        <f>IFERROR((VLOOKUP(A68,'Información municipios'!$E$3:$I$1124,5,FALSE)),"")</f>
        <v/>
      </c>
      <c r="C68" s="83" t="str">
        <f>IFERROR(VLOOKUP(A68,'Información municipios'!$E$3:$F$1124,2,0)*((1+1.75%)^('Datos de entrada'!$B$5-2019)),"")</f>
        <v/>
      </c>
      <c r="D68" s="192">
        <f t="shared" si="1"/>
        <v>0</v>
      </c>
    </row>
    <row r="69" spans="1:4" x14ac:dyDescent="0.25">
      <c r="A69" s="65" t="str">
        <f>IF('Municipios Proyecto Regional'!B68&lt;&gt;0,'Municipios Proyecto Regional'!B68,"")</f>
        <v/>
      </c>
      <c r="B69" s="65" t="str">
        <f>IFERROR((VLOOKUP(A69,'Información municipios'!$E$3:$I$1124,5,FALSE)),"")</f>
        <v/>
      </c>
      <c r="C69" s="83" t="str">
        <f>IFERROR(VLOOKUP(A69,'Información municipios'!$E$3:$F$1124,2,0)*((1+1.75%)^('Datos de entrada'!$B$5-2019)),"")</f>
        <v/>
      </c>
      <c r="D69" s="192">
        <f t="shared" si="1"/>
        <v>0</v>
      </c>
    </row>
    <row r="70" spans="1:4" x14ac:dyDescent="0.25">
      <c r="A70" s="65" t="str">
        <f>IF('Municipios Proyecto Regional'!B69&lt;&gt;0,'Municipios Proyecto Regional'!B69,"")</f>
        <v/>
      </c>
      <c r="B70" s="65" t="str">
        <f>IFERROR((VLOOKUP(A70,'Información municipios'!$E$3:$I$1124,5,FALSE)),"")</f>
        <v/>
      </c>
      <c r="C70" s="83" t="str">
        <f>IFERROR(VLOOKUP(A70,'Información municipios'!$E$3:$F$1124,2,0)*((1+1.75%)^('Datos de entrada'!$B$5-2019)),"")</f>
        <v/>
      </c>
      <c r="D70" s="192">
        <f t="shared" si="1"/>
        <v>0</v>
      </c>
    </row>
    <row r="71" spans="1:4" x14ac:dyDescent="0.25">
      <c r="A71" s="65" t="str">
        <f>IF('Municipios Proyecto Regional'!B70&lt;&gt;0,'Municipios Proyecto Regional'!B70,"")</f>
        <v/>
      </c>
      <c r="B71" s="65" t="str">
        <f>IFERROR((VLOOKUP(A71,'Información municipios'!$E$3:$I$1124,5,FALSE)),"")</f>
        <v/>
      </c>
      <c r="C71" s="83" t="str">
        <f>IFERROR(VLOOKUP(A71,'Información municipios'!$E$3:$F$1124,2,0)*((1+1.75%)^('Datos de entrada'!$B$5-2019)),"")</f>
        <v/>
      </c>
      <c r="D71" s="192">
        <f t="shared" si="1"/>
        <v>0</v>
      </c>
    </row>
    <row r="72" spans="1:4" x14ac:dyDescent="0.25">
      <c r="A72" s="65" t="str">
        <f>IF('Municipios Proyecto Regional'!B71&lt;&gt;0,'Municipios Proyecto Regional'!B71,"")</f>
        <v/>
      </c>
      <c r="B72" s="65" t="str">
        <f>IFERROR((VLOOKUP(A72,'Información municipios'!$E$3:$I$1124,5,FALSE)),"")</f>
        <v/>
      </c>
      <c r="C72" s="83" t="str">
        <f>IFERROR(VLOOKUP(A72,'Información municipios'!$E$3:$F$1124,2,0)*((1+1.75%)^('Datos de entrada'!$B$5-2019)),"")</f>
        <v/>
      </c>
      <c r="D72" s="192">
        <f t="shared" si="1"/>
        <v>0</v>
      </c>
    </row>
    <row r="73" spans="1:4" x14ac:dyDescent="0.25">
      <c r="A73" s="65" t="str">
        <f>IF('Municipios Proyecto Regional'!B72&lt;&gt;0,'Municipios Proyecto Regional'!B72,"")</f>
        <v/>
      </c>
      <c r="B73" s="65" t="str">
        <f>IFERROR((VLOOKUP(A73,'Información municipios'!$E$3:$I$1124,5,FALSE)),"")</f>
        <v/>
      </c>
      <c r="C73" s="83" t="str">
        <f>IFERROR(VLOOKUP(A73,'Información municipios'!$E$3:$F$1124,2,0)*((1+1.75%)^('Datos de entrada'!$B$5-2019)),"")</f>
        <v/>
      </c>
      <c r="D73" s="192">
        <f t="shared" si="1"/>
        <v>0</v>
      </c>
    </row>
    <row r="74" spans="1:4" x14ac:dyDescent="0.25">
      <c r="A74" s="65" t="str">
        <f>IF('Municipios Proyecto Regional'!B73&lt;&gt;0,'Municipios Proyecto Regional'!B73,"")</f>
        <v/>
      </c>
      <c r="B74" s="65" t="str">
        <f>IFERROR((VLOOKUP(A74,'Información municipios'!$E$3:$I$1124,5,FALSE)),"")</f>
        <v/>
      </c>
      <c r="C74" s="83" t="str">
        <f>IFERROR(VLOOKUP(A74,'Información municipios'!$E$3:$F$1124,2,0)*((1+1.75%)^('Datos de entrada'!$B$5-2019)),"")</f>
        <v/>
      </c>
      <c r="D74" s="192">
        <f t="shared" si="1"/>
        <v>0</v>
      </c>
    </row>
    <row r="75" spans="1:4" x14ac:dyDescent="0.25">
      <c r="A75" s="65" t="str">
        <f>IF('Municipios Proyecto Regional'!B74&lt;&gt;0,'Municipios Proyecto Regional'!B74,"")</f>
        <v/>
      </c>
      <c r="B75" s="65" t="str">
        <f>IFERROR((VLOOKUP(A75,'Información municipios'!$E$3:$I$1124,5,FALSE)),"")</f>
        <v/>
      </c>
      <c r="C75" s="83" t="str">
        <f>IFERROR(VLOOKUP(A75,'Información municipios'!$E$3:$F$1124,2,0)*((1+1.75%)^('Datos de entrada'!$B$5-2019)),"")</f>
        <v/>
      </c>
      <c r="D75" s="192">
        <f t="shared" si="1"/>
        <v>0</v>
      </c>
    </row>
    <row r="76" spans="1:4" x14ac:dyDescent="0.25">
      <c r="A76" s="65" t="str">
        <f>IF('Municipios Proyecto Regional'!B75&lt;&gt;0,'Municipios Proyecto Regional'!B75,"")</f>
        <v/>
      </c>
      <c r="B76" s="65" t="str">
        <f>IFERROR((VLOOKUP(A76,'Información municipios'!$E$3:$I$1124,5,FALSE)),"")</f>
        <v/>
      </c>
      <c r="C76" s="83" t="str">
        <f>IFERROR(VLOOKUP(A76,'Información municipios'!$E$3:$F$1124,2,0)*((1+1.75%)^('Datos de entrada'!$B$5-2019)),"")</f>
        <v/>
      </c>
      <c r="D76" s="192">
        <f t="shared" si="1"/>
        <v>0</v>
      </c>
    </row>
    <row r="77" spans="1:4" x14ac:dyDescent="0.25">
      <c r="A77" s="65" t="str">
        <f>IF('Municipios Proyecto Regional'!B76&lt;&gt;0,'Municipios Proyecto Regional'!B76,"")</f>
        <v/>
      </c>
      <c r="B77" s="65" t="str">
        <f>IFERROR((VLOOKUP(A77,'Información municipios'!$E$3:$I$1124,5,FALSE)),"")</f>
        <v/>
      </c>
      <c r="C77" s="83" t="str">
        <f>IFERROR(VLOOKUP(A77,'Información municipios'!$E$3:$F$1124,2,0)*((1+1.75%)^('Datos de entrada'!$B$5-2019)),"")</f>
        <v/>
      </c>
      <c r="D77" s="192">
        <f t="shared" si="1"/>
        <v>0</v>
      </c>
    </row>
    <row r="78" spans="1:4" x14ac:dyDescent="0.25">
      <c r="A78" s="65" t="str">
        <f>IF('Municipios Proyecto Regional'!B77&lt;&gt;0,'Municipios Proyecto Regional'!B77,"")</f>
        <v/>
      </c>
      <c r="B78" s="65" t="str">
        <f>IFERROR((VLOOKUP(A78,'Información municipios'!$E$3:$I$1124,5,FALSE)),"")</f>
        <v/>
      </c>
      <c r="C78" s="83" t="str">
        <f>IFERROR(VLOOKUP(A78,'Información municipios'!$E$3:$F$1124,2,0)*((1+1.75%)^('Datos de entrada'!$B$5-2019)),"")</f>
        <v/>
      </c>
      <c r="D78" s="192">
        <f t="shared" si="1"/>
        <v>0</v>
      </c>
    </row>
    <row r="79" spans="1:4" x14ac:dyDescent="0.25">
      <c r="A79" s="65" t="str">
        <f>IF('Municipios Proyecto Regional'!B78&lt;&gt;0,'Municipios Proyecto Regional'!B78,"")</f>
        <v/>
      </c>
      <c r="B79" s="65" t="str">
        <f>IFERROR((VLOOKUP(A79,'Información municipios'!$E$3:$I$1124,5,FALSE)),"")</f>
        <v/>
      </c>
      <c r="C79" s="83" t="str">
        <f>IFERROR(VLOOKUP(A79,'Información municipios'!$E$3:$F$1124,2,0)*((1+1.75%)^('Datos de entrada'!$B$5-2019)),"")</f>
        <v/>
      </c>
      <c r="D79" s="192">
        <f t="shared" si="1"/>
        <v>0</v>
      </c>
    </row>
    <row r="80" spans="1:4" x14ac:dyDescent="0.25">
      <c r="A80" s="65" t="str">
        <f>IF('Municipios Proyecto Regional'!B79&lt;&gt;0,'Municipios Proyecto Regional'!B79,"")</f>
        <v/>
      </c>
      <c r="B80" s="65" t="str">
        <f>IFERROR((VLOOKUP(A80,'Información municipios'!$E$3:$I$1124,5,FALSE)),"")</f>
        <v/>
      </c>
      <c r="C80" s="83" t="str">
        <f>IFERROR(VLOOKUP(A80,'Información municipios'!$E$3:$F$1124,2,0)*((1+1.75%)^('Datos de entrada'!$B$5-2019)),"")</f>
        <v/>
      </c>
      <c r="D80" s="192">
        <f t="shared" si="1"/>
        <v>0</v>
      </c>
    </row>
    <row r="81" spans="1:4" x14ac:dyDescent="0.25">
      <c r="A81" s="65" t="str">
        <f>IF('Municipios Proyecto Regional'!B80&lt;&gt;0,'Municipios Proyecto Regional'!B80,"")</f>
        <v/>
      </c>
      <c r="B81" s="65" t="str">
        <f>IFERROR((VLOOKUP(A81,'Información municipios'!$E$3:$I$1124,5,FALSE)),"")</f>
        <v/>
      </c>
      <c r="C81" s="83" t="str">
        <f>IFERROR(VLOOKUP(A81,'Información municipios'!$E$3:$F$1124,2,0)*((1+1.75%)^('Datos de entrada'!$B$5-2019)),"")</f>
        <v/>
      </c>
      <c r="D81" s="192">
        <f t="shared" si="1"/>
        <v>0</v>
      </c>
    </row>
    <row r="82" spans="1:4" x14ac:dyDescent="0.25">
      <c r="A82" s="65" t="str">
        <f>IF('Municipios Proyecto Regional'!B81&lt;&gt;0,'Municipios Proyecto Regional'!B81,"")</f>
        <v/>
      </c>
      <c r="B82" s="65" t="str">
        <f>IFERROR((VLOOKUP(A82,'Información municipios'!$E$3:$I$1124,5,FALSE)),"")</f>
        <v/>
      </c>
      <c r="C82" s="83" t="str">
        <f>IFERROR(VLOOKUP(A82,'Información municipios'!$E$3:$F$1124,2,0)*((1+1.75%)^('Datos de entrada'!$B$5-2019)),"")</f>
        <v/>
      </c>
      <c r="D82" s="192">
        <f t="shared" si="1"/>
        <v>0</v>
      </c>
    </row>
    <row r="83" spans="1:4" x14ac:dyDescent="0.25">
      <c r="A83" s="65" t="str">
        <f>IF('Municipios Proyecto Regional'!B82&lt;&gt;0,'Municipios Proyecto Regional'!B82,"")</f>
        <v/>
      </c>
      <c r="B83" s="65" t="str">
        <f>IFERROR((VLOOKUP(A83,'Información municipios'!$E$3:$I$1124,5,FALSE)),"")</f>
        <v/>
      </c>
      <c r="C83" s="83" t="str">
        <f>IFERROR(VLOOKUP(A83,'Información municipios'!$E$3:$F$1124,2,0)*((1+1.75%)^('Datos de entrada'!$B$5-2019)),"")</f>
        <v/>
      </c>
      <c r="D83" s="192">
        <f t="shared" si="1"/>
        <v>0</v>
      </c>
    </row>
    <row r="84" spans="1:4" x14ac:dyDescent="0.25">
      <c r="A84" s="65" t="str">
        <f>IF('Municipios Proyecto Regional'!B83&lt;&gt;0,'Municipios Proyecto Regional'!B83,"")</f>
        <v/>
      </c>
      <c r="B84" s="65" t="str">
        <f>IFERROR((VLOOKUP(A84,'Información municipios'!$E$3:$I$1124,5,FALSE)),"")</f>
        <v/>
      </c>
      <c r="C84" s="83" t="str">
        <f>IFERROR(VLOOKUP(A84,'Información municipios'!$E$3:$F$1124,2,0)*((1+1.75%)^('Datos de entrada'!$B$5-2019)),"")</f>
        <v/>
      </c>
      <c r="D84" s="192">
        <f t="shared" si="1"/>
        <v>0</v>
      </c>
    </row>
    <row r="85" spans="1:4" x14ac:dyDescent="0.25">
      <c r="A85" s="65" t="str">
        <f>IF('Municipios Proyecto Regional'!B84&lt;&gt;0,'Municipios Proyecto Regional'!B84,"")</f>
        <v/>
      </c>
      <c r="B85" s="65" t="str">
        <f>IFERROR((VLOOKUP(A85,'Información municipios'!$E$3:$I$1124,5,FALSE)),"")</f>
        <v/>
      </c>
      <c r="C85" s="83" t="str">
        <f>IFERROR(VLOOKUP(A85,'Información municipios'!$E$3:$F$1124,2,0)*((1+1.75%)^('Datos de entrada'!$B$5-2019)),"")</f>
        <v/>
      </c>
      <c r="D85" s="192">
        <f t="shared" si="1"/>
        <v>0</v>
      </c>
    </row>
    <row r="86" spans="1:4" x14ac:dyDescent="0.25">
      <c r="A86" s="65" t="str">
        <f>IF('Municipios Proyecto Regional'!B85&lt;&gt;0,'Municipios Proyecto Regional'!B85,"")</f>
        <v/>
      </c>
      <c r="B86" s="65" t="str">
        <f>IFERROR((VLOOKUP(A86,'Información municipios'!$E$3:$I$1124,5,FALSE)),"")</f>
        <v/>
      </c>
      <c r="C86" s="83" t="str">
        <f>IFERROR(VLOOKUP(A86,'Información municipios'!$E$3:$F$1124,2,0)*((1+1.75%)^('Datos de entrada'!$B$5-2019)),"")</f>
        <v/>
      </c>
      <c r="D86" s="192">
        <f t="shared" si="1"/>
        <v>0</v>
      </c>
    </row>
    <row r="87" spans="1:4" x14ac:dyDescent="0.25">
      <c r="A87" s="65" t="str">
        <f>IF('Municipios Proyecto Regional'!B86&lt;&gt;0,'Municipios Proyecto Regional'!B86,"")</f>
        <v/>
      </c>
      <c r="B87" s="65" t="str">
        <f>IFERROR((VLOOKUP(A87,'Información municipios'!$E$3:$I$1124,5,FALSE)),"")</f>
        <v/>
      </c>
      <c r="C87" s="83" t="str">
        <f>IFERROR(VLOOKUP(A87,'Información municipios'!$E$3:$F$1124,2,0)*((1+1.75%)^('Datos de entrada'!$B$5-2019)),"")</f>
        <v/>
      </c>
      <c r="D87" s="192">
        <f t="shared" si="1"/>
        <v>0</v>
      </c>
    </row>
    <row r="88" spans="1:4" x14ac:dyDescent="0.25">
      <c r="A88" s="65" t="str">
        <f>IF('Municipios Proyecto Regional'!B87&lt;&gt;0,'Municipios Proyecto Regional'!B87,"")</f>
        <v/>
      </c>
      <c r="B88" s="65" t="str">
        <f>IFERROR((VLOOKUP(A88,'Información municipios'!$E$3:$I$1124,5,FALSE)),"")</f>
        <v/>
      </c>
      <c r="C88" s="83" t="str">
        <f>IFERROR(VLOOKUP(A88,'Información municipios'!$E$3:$F$1124,2,0)*((1+1.75%)^('Datos de entrada'!$B$5-2019)),"")</f>
        <v/>
      </c>
      <c r="D88" s="192">
        <f t="shared" si="1"/>
        <v>0</v>
      </c>
    </row>
    <row r="89" spans="1:4" x14ac:dyDescent="0.25">
      <c r="A89" s="65" t="str">
        <f>IF('Municipios Proyecto Regional'!B88&lt;&gt;0,'Municipios Proyecto Regional'!B88,"")</f>
        <v/>
      </c>
      <c r="B89" s="65" t="str">
        <f>IFERROR((VLOOKUP(A89,'Información municipios'!$E$3:$I$1124,5,FALSE)),"")</f>
        <v/>
      </c>
      <c r="C89" s="83" t="str">
        <f>IFERROR(VLOOKUP(A89,'Información municipios'!$E$3:$F$1124,2,0)*((1+1.75%)^('Datos de entrada'!$B$5-2019)),"")</f>
        <v/>
      </c>
      <c r="D89" s="192">
        <f t="shared" si="1"/>
        <v>0</v>
      </c>
    </row>
    <row r="90" spans="1:4" x14ac:dyDescent="0.25">
      <c r="A90" s="65" t="str">
        <f>IF('Municipios Proyecto Regional'!B89&lt;&gt;0,'Municipios Proyecto Regional'!B89,"")</f>
        <v/>
      </c>
      <c r="B90" s="65" t="str">
        <f>IFERROR((VLOOKUP(A90,'Información municipios'!$E$3:$I$1124,5,FALSE)),"")</f>
        <v/>
      </c>
      <c r="C90" s="83" t="str">
        <f>IFERROR(VLOOKUP(A90,'Información municipios'!$E$3:$F$1124,2,0)*((1+1.75%)^('Datos de entrada'!$B$5-2019)),"")</f>
        <v/>
      </c>
      <c r="D90" s="192">
        <f t="shared" si="1"/>
        <v>0</v>
      </c>
    </row>
    <row r="91" spans="1:4" x14ac:dyDescent="0.25">
      <c r="A91" s="65" t="str">
        <f>IF('Municipios Proyecto Regional'!B90&lt;&gt;0,'Municipios Proyecto Regional'!B90,"")</f>
        <v/>
      </c>
      <c r="B91" s="65" t="str">
        <f>IFERROR((VLOOKUP(A91,'Información municipios'!$E$3:$I$1124,5,FALSE)),"")</f>
        <v/>
      </c>
      <c r="C91" s="83" t="str">
        <f>IFERROR(VLOOKUP(A91,'Información municipios'!$E$3:$F$1124,2,0)*((1+1.75%)^('Datos de entrada'!$B$5-2019)),"")</f>
        <v/>
      </c>
      <c r="D91" s="192">
        <f t="shared" si="1"/>
        <v>0</v>
      </c>
    </row>
    <row r="92" spans="1:4" x14ac:dyDescent="0.25">
      <c r="A92" s="65" t="str">
        <f>IF('Municipios Proyecto Regional'!B91&lt;&gt;0,'Municipios Proyecto Regional'!B91,"")</f>
        <v/>
      </c>
      <c r="B92" s="65" t="str">
        <f>IFERROR((VLOOKUP(A92,'Información municipios'!$E$3:$I$1124,5,FALSE)),"")</f>
        <v/>
      </c>
      <c r="C92" s="83" t="str">
        <f>IFERROR(VLOOKUP(A92,'Información municipios'!$E$3:$F$1124,2,0)*((1+1.75%)^('Datos de entrada'!$B$5-2019)),"")</f>
        <v/>
      </c>
      <c r="D92" s="192">
        <f t="shared" si="1"/>
        <v>0</v>
      </c>
    </row>
    <row r="93" spans="1:4" x14ac:dyDescent="0.25">
      <c r="A93" s="65" t="str">
        <f>IF('Municipios Proyecto Regional'!B92&lt;&gt;0,'Municipios Proyecto Regional'!B92,"")</f>
        <v/>
      </c>
      <c r="B93" s="65" t="str">
        <f>IFERROR((VLOOKUP(A93,'Información municipios'!$E$3:$I$1124,5,FALSE)),"")</f>
        <v/>
      </c>
      <c r="C93" s="83" t="str">
        <f>IFERROR(VLOOKUP(A93,'Información municipios'!$E$3:$F$1124,2,0)*((1+1.75%)^('Datos de entrada'!$B$5-2019)),"")</f>
        <v/>
      </c>
      <c r="D93" s="192">
        <f t="shared" si="1"/>
        <v>0</v>
      </c>
    </row>
    <row r="94" spans="1:4" x14ac:dyDescent="0.25">
      <c r="A94" s="65" t="str">
        <f>IF('Municipios Proyecto Regional'!B93&lt;&gt;0,'Municipios Proyecto Regional'!B93,"")</f>
        <v/>
      </c>
      <c r="B94" s="65" t="str">
        <f>IFERROR((VLOOKUP(A94,'Información municipios'!$E$3:$I$1124,5,FALSE)),"")</f>
        <v/>
      </c>
      <c r="C94" s="83" t="str">
        <f>IFERROR(VLOOKUP(A94,'Información municipios'!$E$3:$F$1124,2,0)*((1+1.75%)^('Datos de entrada'!$B$5-2019)),"")</f>
        <v/>
      </c>
      <c r="D94" s="192">
        <f t="shared" si="1"/>
        <v>0</v>
      </c>
    </row>
    <row r="95" spans="1:4" x14ac:dyDescent="0.25">
      <c r="A95" s="65" t="str">
        <f>IF('Municipios Proyecto Regional'!B94&lt;&gt;0,'Municipios Proyecto Regional'!B94,"")</f>
        <v/>
      </c>
      <c r="B95" s="65" t="str">
        <f>IFERROR((VLOOKUP(A95,'Información municipios'!$E$3:$I$1124,5,FALSE)),"")</f>
        <v/>
      </c>
      <c r="C95" s="83" t="str">
        <f>IFERROR(VLOOKUP(A95,'Información municipios'!$E$3:$F$1124,2,0)*((1+1.75%)^('Datos de entrada'!$B$5-2019)),"")</f>
        <v/>
      </c>
      <c r="D95" s="192">
        <f t="shared" si="1"/>
        <v>0</v>
      </c>
    </row>
    <row r="96" spans="1:4" x14ac:dyDescent="0.25">
      <c r="A96" s="65" t="str">
        <f>IF('Municipios Proyecto Regional'!B95&lt;&gt;0,'Municipios Proyecto Regional'!B95,"")</f>
        <v/>
      </c>
      <c r="B96" s="65" t="str">
        <f>IFERROR((VLOOKUP(A96,'Información municipios'!$E$3:$I$1124,5,FALSE)),"")</f>
        <v/>
      </c>
      <c r="C96" s="83" t="str">
        <f>IFERROR(VLOOKUP(A96,'Información municipios'!$E$3:$F$1124,2,0)*((1+1.75%)^('Datos de entrada'!$B$5-2019)),"")</f>
        <v/>
      </c>
      <c r="D96" s="192">
        <f t="shared" si="1"/>
        <v>0</v>
      </c>
    </row>
    <row r="97" spans="1:4" x14ac:dyDescent="0.25">
      <c r="A97" s="65" t="str">
        <f>IF('Municipios Proyecto Regional'!B96&lt;&gt;0,'Municipios Proyecto Regional'!B96,"")</f>
        <v/>
      </c>
      <c r="B97" s="65" t="str">
        <f>IFERROR((VLOOKUP(A97,'Información municipios'!$E$3:$I$1124,5,FALSE)),"")</f>
        <v/>
      </c>
      <c r="C97" s="83" t="str">
        <f>IFERROR(VLOOKUP(A97,'Información municipios'!$E$3:$F$1124,2,0)*((1+1.75%)^('Datos de entrada'!$B$5-2019)),"")</f>
        <v/>
      </c>
      <c r="D97" s="192">
        <f t="shared" si="1"/>
        <v>0</v>
      </c>
    </row>
    <row r="98" spans="1:4" x14ac:dyDescent="0.25">
      <c r="A98" s="65" t="str">
        <f>IF('Municipios Proyecto Regional'!B97&lt;&gt;0,'Municipios Proyecto Regional'!B97,"")</f>
        <v/>
      </c>
      <c r="B98" s="65" t="str">
        <f>IFERROR((VLOOKUP(A98,'Información municipios'!$E$3:$I$1124,5,FALSE)),"")</f>
        <v/>
      </c>
      <c r="C98" s="83" t="str">
        <f>IFERROR(VLOOKUP(A98,'Información municipios'!$E$3:$F$1124,2,0)*((1+1.75%)^('Datos de entrada'!$B$5-2019)),"")</f>
        <v/>
      </c>
      <c r="D98" s="192">
        <f t="shared" si="1"/>
        <v>0</v>
      </c>
    </row>
    <row r="99" spans="1:4" x14ac:dyDescent="0.25">
      <c r="A99" s="65" t="str">
        <f>IF('Municipios Proyecto Regional'!B98&lt;&gt;0,'Municipios Proyecto Regional'!B98,"")</f>
        <v/>
      </c>
      <c r="B99" s="65" t="str">
        <f>IFERROR((VLOOKUP(A99,'Información municipios'!$E$3:$I$1124,5,FALSE)),"")</f>
        <v/>
      </c>
      <c r="C99" s="83" t="str">
        <f>IFERROR(VLOOKUP(A99,'Información municipios'!$E$3:$F$1124,2,0)*((1+1.75%)^('Datos de entrada'!$B$5-2019)),"")</f>
        <v/>
      </c>
      <c r="D99" s="192">
        <f t="shared" si="1"/>
        <v>0</v>
      </c>
    </row>
    <row r="100" spans="1:4" x14ac:dyDescent="0.25">
      <c r="A100" s="65" t="str">
        <f>IF('Municipios Proyecto Regional'!B99&lt;&gt;0,'Municipios Proyecto Regional'!B99,"")</f>
        <v/>
      </c>
      <c r="B100" s="65" t="str">
        <f>IFERROR((VLOOKUP(A100,'Información municipios'!$E$3:$I$1124,5,FALSE)),"")</f>
        <v/>
      </c>
      <c r="C100" s="83" t="str">
        <f>IFERROR(VLOOKUP(A100,'Información municipios'!$E$3:$F$1124,2,0)*((1+1.75%)^('Datos de entrada'!$B$5-2019)),"")</f>
        <v/>
      </c>
      <c r="D100" s="192">
        <f t="shared" si="1"/>
        <v>0</v>
      </c>
    </row>
    <row r="101" spans="1:4" x14ac:dyDescent="0.25">
      <c r="A101" s="65" t="str">
        <f>IF('Municipios Proyecto Regional'!B100&lt;&gt;0,'Municipios Proyecto Regional'!B100,"")</f>
        <v/>
      </c>
      <c r="B101" s="65" t="str">
        <f>IFERROR((VLOOKUP(A101,'Información municipios'!$E$3:$I$1124,5,FALSE)),"")</f>
        <v/>
      </c>
      <c r="C101" s="83" t="str">
        <f>IFERROR(VLOOKUP(A101,'Información municipios'!$E$3:$F$1124,2,0)*((1+1.75%)^('Datos de entrada'!$B$5-2019)),"")</f>
        <v/>
      </c>
      <c r="D101" s="192">
        <f t="shared" si="1"/>
        <v>0</v>
      </c>
    </row>
    <row r="102" spans="1:4" x14ac:dyDescent="0.25">
      <c r="A102" s="65" t="str">
        <f>IF('Municipios Proyecto Regional'!B101&lt;&gt;0,'Municipios Proyecto Regional'!B101,"")</f>
        <v/>
      </c>
      <c r="B102" s="65" t="str">
        <f>IFERROR((VLOOKUP(A102,'Información municipios'!$E$3:$I$1124,5,FALSE)),"")</f>
        <v/>
      </c>
      <c r="C102" s="83" t="str">
        <f>IFERROR(VLOOKUP(A102,'Información municipios'!$E$3:$F$1124,2,0)*((1+1.75%)^('Datos de entrada'!$B$5-2019)),"")</f>
        <v/>
      </c>
      <c r="D102" s="192">
        <f t="shared" si="1"/>
        <v>0</v>
      </c>
    </row>
    <row r="103" spans="1:4" x14ac:dyDescent="0.25">
      <c r="A103" s="65" t="str">
        <f>IF('Municipios Proyecto Regional'!B102&lt;&gt;0,'Municipios Proyecto Regional'!B102,"")</f>
        <v/>
      </c>
      <c r="B103" s="65" t="str">
        <f>IFERROR((VLOOKUP(A103,'Información municipios'!$E$3:$I$1124,5,FALSE)),"")</f>
        <v/>
      </c>
      <c r="C103" s="83" t="str">
        <f>IFERROR(VLOOKUP(A103,'Información municipios'!$E$3:$F$1124,2,0)*((1+1.75%)^('Datos de entrada'!$B$5-2019)),"")</f>
        <v/>
      </c>
      <c r="D103" s="192">
        <f t="shared" si="1"/>
        <v>0</v>
      </c>
    </row>
    <row r="104" spans="1:4" x14ac:dyDescent="0.25">
      <c r="A104" s="65" t="str">
        <f>IF('Municipios Proyecto Regional'!B103&lt;&gt;0,'Municipios Proyecto Regional'!B103,"")</f>
        <v/>
      </c>
      <c r="B104" s="65" t="str">
        <f>IFERROR((VLOOKUP(A104,'Información municipios'!$E$3:$I$1124,5,FALSE)),"")</f>
        <v/>
      </c>
      <c r="C104" s="83" t="str">
        <f>IFERROR(VLOOKUP(A104,'Información municipios'!$E$3:$F$1124,2,0)*((1+1.75%)^('Datos de entrada'!$B$5-2019)),"")</f>
        <v/>
      </c>
      <c r="D104" s="192">
        <f t="shared" si="1"/>
        <v>0</v>
      </c>
    </row>
    <row r="105" spans="1:4" x14ac:dyDescent="0.25">
      <c r="A105" s="65" t="str">
        <f>IF('Municipios Proyecto Regional'!B104&lt;&gt;0,'Municipios Proyecto Regional'!B104,"")</f>
        <v/>
      </c>
      <c r="B105" s="65" t="str">
        <f>IFERROR((VLOOKUP(A105,'Información municipios'!$E$3:$I$1124,5,FALSE)),"")</f>
        <v/>
      </c>
      <c r="C105" s="83" t="str">
        <f>IFERROR(VLOOKUP(A105,'Información municipios'!$E$3:$F$1124,2,0)*((1+1.75%)^('Datos de entrada'!$B$5-2019)),"")</f>
        <v/>
      </c>
      <c r="D105" s="192">
        <f t="shared" si="1"/>
        <v>0</v>
      </c>
    </row>
    <row r="106" spans="1:4" x14ac:dyDescent="0.25">
      <c r="A106" s="65" t="str">
        <f>IF('Municipios Proyecto Regional'!B105&lt;&gt;0,'Municipios Proyecto Regional'!B105,"")</f>
        <v/>
      </c>
      <c r="B106" s="65" t="str">
        <f>IFERROR((VLOOKUP(A106,'Información municipios'!$E$3:$I$1124,5,FALSE)),"")</f>
        <v/>
      </c>
      <c r="C106" s="83" t="str">
        <f>IFERROR(VLOOKUP(A106,'Información municipios'!$E$3:$F$1124,2,0)*((1+1.75%)^('Datos de entrada'!$B$5-2019)),"")</f>
        <v/>
      </c>
      <c r="D106" s="192">
        <f t="shared" si="1"/>
        <v>0</v>
      </c>
    </row>
    <row r="107" spans="1:4" x14ac:dyDescent="0.25">
      <c r="A107" s="65" t="str">
        <f>IF('Municipios Proyecto Regional'!B106&lt;&gt;0,'Municipios Proyecto Regional'!B106,"")</f>
        <v/>
      </c>
      <c r="B107" s="65" t="str">
        <f>IFERROR((VLOOKUP(A107,'Información municipios'!$E$3:$I$1124,5,FALSE)),"")</f>
        <v/>
      </c>
      <c r="C107" s="83" t="str">
        <f>IFERROR(VLOOKUP(A107,'Información municipios'!$E$3:$F$1124,2,0)*((1+1.75%)^('Datos de entrada'!$B$5-2019)),"")</f>
        <v/>
      </c>
      <c r="D107" s="192">
        <f t="shared" si="1"/>
        <v>0</v>
      </c>
    </row>
    <row r="108" spans="1:4" x14ac:dyDescent="0.25">
      <c r="A108" s="65" t="str">
        <f>IF('Municipios Proyecto Regional'!B107&lt;&gt;0,'Municipios Proyecto Regional'!B107,"")</f>
        <v/>
      </c>
      <c r="B108" s="65" t="str">
        <f>IFERROR((VLOOKUP(A108,'Información municipios'!$E$3:$I$1124,5,FALSE)),"")</f>
        <v/>
      </c>
      <c r="C108" s="83" t="str">
        <f>IFERROR(VLOOKUP(A108,'Información municipios'!$E$3:$F$1124,2,0)*((1+1.75%)^('Datos de entrada'!$B$5-2019)),"")</f>
        <v/>
      </c>
      <c r="D108" s="192">
        <f t="shared" si="1"/>
        <v>0</v>
      </c>
    </row>
    <row r="109" spans="1:4" x14ac:dyDescent="0.25">
      <c r="A109" s="65" t="str">
        <f>IF('Municipios Proyecto Regional'!B108&lt;&gt;0,'Municipios Proyecto Regional'!B108,"")</f>
        <v/>
      </c>
      <c r="B109" s="65" t="str">
        <f>IFERROR((VLOOKUP(A109,'Información municipios'!$E$3:$I$1124,5,FALSE)),"")</f>
        <v/>
      </c>
      <c r="C109" s="83" t="str">
        <f>IFERROR(VLOOKUP(A109,'Información municipios'!$E$3:$F$1124,2,0)*((1+1.75%)^('Datos de entrada'!$B$5-2019)),"")</f>
        <v/>
      </c>
      <c r="D109" s="192">
        <f t="shared" si="1"/>
        <v>0</v>
      </c>
    </row>
    <row r="110" spans="1:4" x14ac:dyDescent="0.25">
      <c r="A110" s="65" t="str">
        <f>IF('Municipios Proyecto Regional'!B109&lt;&gt;0,'Municipios Proyecto Regional'!B109,"")</f>
        <v/>
      </c>
      <c r="B110" s="65" t="str">
        <f>IFERROR((VLOOKUP(A110,'Información municipios'!$E$3:$I$1124,5,FALSE)),"")</f>
        <v/>
      </c>
      <c r="C110" s="83" t="str">
        <f>IFERROR(VLOOKUP(A110,'Información municipios'!$E$3:$F$1124,2,0)*((1+1.75%)^('Datos de entrada'!$B$5-2019)),"")</f>
        <v/>
      </c>
      <c r="D110" s="192">
        <f t="shared" si="1"/>
        <v>0</v>
      </c>
    </row>
    <row r="111" spans="1:4" x14ac:dyDescent="0.25">
      <c r="A111" s="65" t="str">
        <f>IF('Municipios Proyecto Regional'!B110&lt;&gt;0,'Municipios Proyecto Regional'!B110,"")</f>
        <v/>
      </c>
      <c r="B111" s="65" t="str">
        <f>IFERROR((VLOOKUP(A111,'Información municipios'!$E$3:$I$1124,5,FALSE)),"")</f>
        <v/>
      </c>
      <c r="C111" s="83" t="str">
        <f>IFERROR(VLOOKUP(A111,'Información municipios'!$E$3:$F$1124,2,0)*((1+1.75%)^('Datos de entrada'!$B$5-2019)),"")</f>
        <v/>
      </c>
      <c r="D111" s="192">
        <f t="shared" si="1"/>
        <v>0</v>
      </c>
    </row>
    <row r="112" spans="1:4" x14ac:dyDescent="0.25">
      <c r="A112" s="65" t="str">
        <f>IF('Municipios Proyecto Regional'!B111&lt;&gt;0,'Municipios Proyecto Regional'!B111,"")</f>
        <v/>
      </c>
      <c r="B112" s="65" t="str">
        <f>IFERROR((VLOOKUP(A112,'Información municipios'!$E$3:$I$1124,5,FALSE)),"")</f>
        <v/>
      </c>
      <c r="C112" s="83" t="str">
        <f>IFERROR(VLOOKUP(A112,'Información municipios'!$E$3:$F$1124,2,0)*((1+1.75%)^('Datos de entrada'!$B$5-2019)),"")</f>
        <v/>
      </c>
      <c r="D112" s="192">
        <f t="shared" si="1"/>
        <v>0</v>
      </c>
    </row>
    <row r="113" spans="1:4" x14ac:dyDescent="0.25">
      <c r="A113" s="65" t="str">
        <f>IF('Municipios Proyecto Regional'!B112&lt;&gt;0,'Municipios Proyecto Regional'!B112,"")</f>
        <v/>
      </c>
      <c r="B113" s="65" t="str">
        <f>IFERROR((VLOOKUP(A113,'Información municipios'!$E$3:$I$1124,5,FALSE)),"")</f>
        <v/>
      </c>
      <c r="C113" s="83" t="str">
        <f>IFERROR(VLOOKUP(A113,'Información municipios'!$E$3:$F$1124,2,0)*((1+1.75%)^('Datos de entrada'!$B$5-2019)),"")</f>
        <v/>
      </c>
      <c r="D113" s="192">
        <f t="shared" si="1"/>
        <v>0</v>
      </c>
    </row>
    <row r="114" spans="1:4" x14ac:dyDescent="0.25">
      <c r="A114" s="65" t="str">
        <f>IF('Municipios Proyecto Regional'!B113&lt;&gt;0,'Municipios Proyecto Regional'!B113,"")</f>
        <v/>
      </c>
      <c r="B114" s="65" t="str">
        <f>IFERROR((VLOOKUP(A114,'Información municipios'!$E$3:$I$1124,5,FALSE)),"")</f>
        <v/>
      </c>
      <c r="C114" s="83" t="str">
        <f>IFERROR(VLOOKUP(A114,'Información municipios'!$E$3:$F$1124,2,0)*((1+1.75%)^('Datos de entrada'!$B$5-2019)),"")</f>
        <v/>
      </c>
      <c r="D114" s="192">
        <f t="shared" si="1"/>
        <v>0</v>
      </c>
    </row>
    <row r="115" spans="1:4" x14ac:dyDescent="0.25">
      <c r="A115" s="65" t="str">
        <f>IF('Municipios Proyecto Regional'!B114&lt;&gt;0,'Municipios Proyecto Regional'!B114,"")</f>
        <v/>
      </c>
      <c r="B115" s="65" t="str">
        <f>IFERROR((VLOOKUP(A115,'Información municipios'!$E$3:$I$1124,5,FALSE)),"")</f>
        <v/>
      </c>
      <c r="C115" s="83" t="str">
        <f>IFERROR(VLOOKUP(A115,'Información municipios'!$E$3:$F$1124,2,0)*((1+1.75%)^('Datos de entrada'!$B$5-2019)),"")</f>
        <v/>
      </c>
      <c r="D115" s="192">
        <f t="shared" si="1"/>
        <v>0</v>
      </c>
    </row>
    <row r="116" spans="1:4" x14ac:dyDescent="0.25">
      <c r="A116" s="65" t="str">
        <f>IF('Municipios Proyecto Regional'!B115&lt;&gt;0,'Municipios Proyecto Regional'!B115,"")</f>
        <v/>
      </c>
      <c r="B116" s="65" t="str">
        <f>IFERROR((VLOOKUP(A116,'Información municipios'!$E$3:$I$1124,5,FALSE)),"")</f>
        <v/>
      </c>
      <c r="C116" s="83" t="str">
        <f>IFERROR(VLOOKUP(A116,'Información municipios'!$E$3:$F$1124,2,0)*((1+1.75%)^('Datos de entrada'!$B$5-2019)),"")</f>
        <v/>
      </c>
      <c r="D116" s="192">
        <f t="shared" si="1"/>
        <v>0</v>
      </c>
    </row>
    <row r="117" spans="1:4" x14ac:dyDescent="0.25">
      <c r="A117" s="65" t="str">
        <f>IF('Municipios Proyecto Regional'!B116&lt;&gt;0,'Municipios Proyecto Regional'!B116,"")</f>
        <v/>
      </c>
      <c r="B117" s="65" t="str">
        <f>IFERROR((VLOOKUP(A117,'Información municipios'!$E$3:$I$1124,5,FALSE)),"")</f>
        <v/>
      </c>
      <c r="C117" s="83" t="str">
        <f>IFERROR(VLOOKUP(A117,'Información municipios'!$E$3:$F$1124,2,0)*((1+1.75%)^('Datos de entrada'!$B$5-2019)),"")</f>
        <v/>
      </c>
      <c r="D117" s="192">
        <f t="shared" si="1"/>
        <v>0</v>
      </c>
    </row>
    <row r="118" spans="1:4" x14ac:dyDescent="0.25">
      <c r="A118" s="65" t="str">
        <f>IF('Municipios Proyecto Regional'!B117&lt;&gt;0,'Municipios Proyecto Regional'!B117,"")</f>
        <v/>
      </c>
      <c r="B118" s="65" t="str">
        <f>IFERROR((VLOOKUP(A118,'Información municipios'!$E$3:$I$1124,5,FALSE)),"")</f>
        <v/>
      </c>
      <c r="C118" s="83" t="str">
        <f>IFERROR(VLOOKUP(A118,'Información municipios'!$E$3:$F$1124,2,0)*((1+1.75%)^('Datos de entrada'!$B$5-2019)),"")</f>
        <v/>
      </c>
      <c r="D118" s="192">
        <f t="shared" si="1"/>
        <v>0</v>
      </c>
    </row>
    <row r="119" spans="1:4" x14ac:dyDescent="0.25">
      <c r="A119" s="65" t="str">
        <f>IF('Municipios Proyecto Regional'!B118&lt;&gt;0,'Municipios Proyecto Regional'!B118,"")</f>
        <v/>
      </c>
      <c r="B119" s="65" t="str">
        <f>IFERROR((VLOOKUP(A119,'Información municipios'!$E$3:$I$1124,5,FALSE)),"")</f>
        <v/>
      </c>
      <c r="C119" s="83" t="str">
        <f>IFERROR(VLOOKUP(A119,'Información municipios'!$E$3:$F$1124,2,0)*((1+1.75%)^('Datos de entrada'!$B$5-2019)),"")</f>
        <v/>
      </c>
      <c r="D119" s="192">
        <f t="shared" si="1"/>
        <v>0</v>
      </c>
    </row>
    <row r="120" spans="1:4" x14ac:dyDescent="0.25">
      <c r="A120" s="65" t="str">
        <f>IF('Municipios Proyecto Regional'!B119&lt;&gt;0,'Municipios Proyecto Regional'!B119,"")</f>
        <v/>
      </c>
      <c r="B120" s="65" t="str">
        <f>IFERROR((VLOOKUP(A120,'Información municipios'!$E$3:$I$1124,5,FALSE)),"")</f>
        <v/>
      </c>
      <c r="C120" s="83" t="str">
        <f>IFERROR(VLOOKUP(A120,'Información municipios'!$E$3:$F$1124,2,0)*((1+1.75%)^('Datos de entrada'!$B$5-2019)),"")</f>
        <v/>
      </c>
      <c r="D120" s="192">
        <f t="shared" si="1"/>
        <v>0</v>
      </c>
    </row>
    <row r="121" spans="1:4" ht="15.75" thickBot="1" x14ac:dyDescent="0.3">
      <c r="A121" s="65" t="str">
        <f>IF('Municipios Proyecto Regional'!B120&lt;&gt;0,'Municipios Proyecto Regional'!B120,"")</f>
        <v/>
      </c>
      <c r="B121" s="65" t="str">
        <f>IFERROR((VLOOKUP(A121,'Información municipios'!$E$3:$I$1124,5,FALSE)),"")</f>
        <v/>
      </c>
      <c r="C121" s="83" t="str">
        <f>IFERROR(VLOOKUP(A121,'Información municipios'!$E$3:$F$1124,2,0)*((1+1.75%)^('Datos de entrada'!$B$5-2019)),"")</f>
        <v/>
      </c>
      <c r="D121" s="192">
        <f t="shared" si="1"/>
        <v>0</v>
      </c>
    </row>
    <row r="122" spans="1:4" ht="19.5" thickBot="1" x14ac:dyDescent="0.3">
      <c r="A122" s="274" t="s">
        <v>145</v>
      </c>
      <c r="B122" s="275"/>
      <c r="C122" s="276"/>
    </row>
    <row r="123" spans="1:4" x14ac:dyDescent="0.25">
      <c r="B123" s="164" t="s">
        <v>146</v>
      </c>
      <c r="C123" s="164" t="s">
        <v>147</v>
      </c>
    </row>
    <row r="124" spans="1:4" x14ac:dyDescent="0.25">
      <c r="A124" s="66" t="s">
        <v>148</v>
      </c>
      <c r="B124" s="114">
        <f>ROUNDDOWN(IF('Datos de entrada'!B6="Si",SUM(C2:C121),SUM(C2:C2)),0)</f>
        <v>0</v>
      </c>
    </row>
    <row r="125" spans="1:4" x14ac:dyDescent="0.25">
      <c r="A125" s="66" t="s">
        <v>149</v>
      </c>
      <c r="B125" s="114">
        <f>B124*((1+Nacional_Área!I20)^('Datos de entrada'!$B$5-2019))</f>
        <v>0</v>
      </c>
      <c r="C125" s="163">
        <f>INT(B125*((1+Nacional_Área!I20)^(B130)))</f>
        <v>0</v>
      </c>
    </row>
    <row r="126" spans="1:4" ht="30" x14ac:dyDescent="0.25">
      <c r="A126" s="67" t="s">
        <v>150</v>
      </c>
      <c r="B126" s="114">
        <f>IF('Datos de entrada'!$B$9&gt;0, 'Datos de entrada'!$B$9*Resultados!C17*365/1000, Resultados!C17*'Información referencia'!$B$13*365/1000)</f>
        <v>0</v>
      </c>
      <c r="C126" s="163">
        <f>IF('Datos de entrada'!$B$9&gt;0, 'Datos de entrada'!$B$9*C125*365/1000, C125*'Información referencia'!$B$13*365/1000)</f>
        <v>0</v>
      </c>
    </row>
    <row r="127" spans="1:4" ht="45.75" customHeight="1" x14ac:dyDescent="0.25">
      <c r="A127" s="67" t="s">
        <v>151</v>
      </c>
      <c r="B127" s="114">
        <f>IF('Datos de entrada'!$B$10&gt;0,'Datos de entrada'!$B$10*Cálculo!$B$126,Cálculo!$B$126*'Información referencia'!$B$14)</f>
        <v>0</v>
      </c>
      <c r="C127" s="163">
        <f>IF('Datos de entrada'!$B$10&gt;0,'Datos de entrada'!$B$10*Cálculo!$C$126,Cálculo!$C$126*'Información referencia'!$B$14)</f>
        <v>0</v>
      </c>
    </row>
    <row r="128" spans="1:4" ht="38.25" customHeight="1" x14ac:dyDescent="0.25">
      <c r="A128" s="67" t="s">
        <v>152</v>
      </c>
      <c r="B128" s="114">
        <f>++'Datos de entrada'!B12+'Datos de entrada'!B14</f>
        <v>0</v>
      </c>
      <c r="C128" s="163">
        <f>+B128</f>
        <v>0</v>
      </c>
      <c r="D128" s="169"/>
    </row>
    <row r="129" spans="1:48" ht="38.25" customHeight="1" x14ac:dyDescent="0.25">
      <c r="A129" s="67" t="s">
        <v>153</v>
      </c>
      <c r="B129" s="114">
        <f>+'Datos de entrada'!$B$12+'Datos de entrada'!$B$14+$B$126</f>
        <v>0</v>
      </c>
      <c r="C129" s="163">
        <f>+'Datos de entrada'!$B$12+'Datos de entrada'!$B$14+$C$126</f>
        <v>0</v>
      </c>
    </row>
    <row r="130" spans="1:48" x14ac:dyDescent="0.25">
      <c r="A130" s="67" t="s">
        <v>154</v>
      </c>
      <c r="B130" s="114">
        <f>IF('Datos de entrada'!$B$8&gt;0,'Datos de entrada'!$B$8,'Información referencia'!$B$10)</f>
        <v>25</v>
      </c>
    </row>
    <row r="131" spans="1:48" x14ac:dyDescent="0.25">
      <c r="A131" s="67"/>
      <c r="B131" s="149"/>
    </row>
    <row r="132" spans="1:48" ht="38.25" customHeight="1" thickBot="1" x14ac:dyDescent="0.3">
      <c r="A132" s="67"/>
      <c r="B132" s="114"/>
      <c r="C132" s="163"/>
    </row>
    <row r="133" spans="1:48" s="27" customFormat="1" ht="19.5" thickBot="1" x14ac:dyDescent="0.3">
      <c r="A133" s="18" t="s">
        <v>155</v>
      </c>
      <c r="B133" s="19" t="s">
        <v>13</v>
      </c>
      <c r="C133" s="20" t="s">
        <v>156</v>
      </c>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row>
    <row r="134" spans="1:48" s="27" customFormat="1" x14ac:dyDescent="0.25">
      <c r="A134" s="21" t="s">
        <v>117</v>
      </c>
      <c r="B134" s="152" t="str">
        <f>IFERROR((VLOOKUP('Datos de entrada'!$B$19,Ponderaciones!$A$12:$B$16,2,FALSE)*Ponderaciones!$F$4)+(VLOOKUP('Datos de entrada'!$B$21,Ponderaciones!$D$12:$E$18,2,FALSE)*Ponderaciones!$F$5)+(VLOOKUP('Datos de entrada'!$B$20,Ponderaciones!$G$12:$H$13,2,FALSE)*Ponderaciones!$F$6+VLOOKUP('Datos de entrada'!$B$22,Ponderaciones!$G$17:$H$19,2,FALSE)*Ponderaciones!$F$7),"")</f>
        <v/>
      </c>
      <c r="C134" s="22" t="str">
        <f>IF($B$134&lt;Ponderaciones!$C$6,Ponderaciones!$A$6,IF($B$134&lt;Ponderaciones!$C$4,Ponderaciones!$A$5,IF($B$134&lt;=10,Ponderaciones!$A$4,"")))</f>
        <v/>
      </c>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row>
    <row r="135" spans="1:48" s="27" customFormat="1" x14ac:dyDescent="0.25">
      <c r="A135" s="23" t="s">
        <v>39</v>
      </c>
      <c r="B135" s="50" t="str">
        <f>IFERROR(((VLOOKUP($C$136,Ponderaciones!$A$112:$B$114,2,FALSE)*Ponderaciones!$F$105)+(VLOOKUP($C$137,Ponderaciones!$A$112:$B$114,2,FALSE)*Ponderaciones!$F$106)+(VLOOKUP($C$138,Ponderaciones!$A$112:$B$114,2,FALSE)*Ponderaciones!$F$107)+(VLOOKUP($C$139,Ponderaciones!$A$112:$B$115,2,FALSE)*Ponderaciones!$F$108)),"")</f>
        <v/>
      </c>
      <c r="C135" s="22" t="str">
        <f>IF($B$135&lt;Ponderaciones!$C$107,Ponderaciones!$A$107,IF($B$135&lt;Ponderaciones!$C$105,Ponderaciones!$A$106,IF($B$135&lt;=10,Ponderaciones!$A$105,"")))</f>
        <v/>
      </c>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row>
    <row r="136" spans="1:48" s="27" customFormat="1" x14ac:dyDescent="0.25">
      <c r="A136" s="24" t="s">
        <v>40</v>
      </c>
      <c r="B136" s="50" t="str">
        <f>IFERROR((VLOOKUP('Datos de entrada'!$B$26,Ponderaciones!$A$32:$B$33,2,FALSE)*Ponderaciones!$F$24)+(VLOOKUP('Datos de entrada'!$B$27,Ponderaciones!$D$32:$E$33,2,FALSE)*Ponderaciones!$F$25)+(VLOOKUP('Datos de entrada'!$B$29,Ponderaciones!$G$32:$H$35,2,FALSE)*Ponderaciones!$F$26),"")</f>
        <v/>
      </c>
      <c r="C136" s="22" t="str">
        <f>IF($B$136&lt;Ponderaciones!$C$26,Ponderaciones!$A$26,IF($B$136&lt;Ponderaciones!$C$24,Ponderaciones!A25,IF($B$136&lt;=10,Ponderaciones!$A$24,"")))</f>
        <v/>
      </c>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row>
    <row r="137" spans="1:48" s="27" customFormat="1" x14ac:dyDescent="0.25">
      <c r="A137" s="24" t="s">
        <v>45</v>
      </c>
      <c r="B137" s="50" t="str">
        <f>IFERROR((VLOOKUP('Datos de entrada'!$B$32,Ponderaciones!$A$49:$B$52,2,FALSE)*Ponderaciones!$F$41)+(VLOOKUP('Datos de entrada'!$B$33,Ponderaciones!$A$49:$B$52,2,FALSE)*Ponderaciones!$F$42)+(VLOOKUP('Datos de entrada'!$B$35,Ponderaciones!$D$49:$E$53,2,FALSE)*Ponderaciones!$F$43)+(VLOOKUP('Datos de entrada'!$B$36,Ponderaciones!$G$49:$H$53,2,FALSE)*Ponderaciones!$F$44),"")</f>
        <v/>
      </c>
      <c r="C137" s="22" t="str">
        <f>IF($B$137&lt;Ponderaciones!$C$43,Ponderaciones!$A$43,IF($B$137&lt;Ponderaciones!$C$41,Ponderaciones!$A$42,IF($B$137&lt;=10,Ponderaciones!$A$41,"")))</f>
        <v/>
      </c>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row>
    <row r="138" spans="1:48" s="27" customFormat="1" x14ac:dyDescent="0.25">
      <c r="A138" s="24" t="s">
        <v>54</v>
      </c>
      <c r="B138" s="50" t="str">
        <f>IFERROR((VLOOKUP('Datos de entrada'!$B$39,Ponderaciones!$A$68:$B$72,2,FALSE)*Ponderaciones!$F$59)+(VLOOKUP('Datos de entrada'!$B$40,Ponderaciones!$D$68:$E$69,2,FALSE)*Ponderaciones!$F$60)+(VLOOKUP('Datos de entrada'!$B$41,Ponderaciones!$G$68:$H$72,2,FALSE)*Ponderaciones!$F$61)+(VLOOKUP('Datos de entrada'!$B$42,Ponderaciones!$A$77:$B$81,2,FALSE)*Ponderaciones!$F$62)+(VLOOKUP('Datos de entrada'!$B$43,Ponderaciones!$D$77:$E$79,2,FALSE)*Ponderaciones!$F$63),"")</f>
        <v/>
      </c>
      <c r="C138" s="22" t="str">
        <f>IF($B$138&lt;Ponderaciones!$C$61,Ponderaciones!$A$61,IF($B$138&lt;Ponderaciones!$C$59,Ponderaciones!$A$60,IF($B$138&lt;=10,Ponderaciones!$A$59,"")))</f>
        <v/>
      </c>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row>
    <row r="139" spans="1:48" s="27" customFormat="1" x14ac:dyDescent="0.25">
      <c r="A139" s="24" t="s">
        <v>64</v>
      </c>
      <c r="B139" s="50" t="str">
        <f>IFERROR((VLOOKUP('Datos de entrada'!$B$46,Ponderaciones!A94:$B$95,2,FALSE)*Ponderaciones!$F$86)+(VLOOKUP('Datos de entrada'!$B$47,Ponderaciones!D94:$E$95,2,FALSE)*Ponderaciones!$F$87)+(VLOOKUP('Datos de entrada'!$B$48,Ponderaciones!G94:$H$95,2,FALSE)*Ponderaciones!$F$88)+(VLOOKUP('Datos de entrada'!$B$49,Ponderaciones!A99:$B$100,2,FALSE)*Ponderaciones!$F$89),"")</f>
        <v/>
      </c>
      <c r="C139" s="22" t="str">
        <f>IF($B$139&lt;Ponderaciones!$C$88,Ponderaciones!$A$88,IF($B$139&lt;Ponderaciones!$C$86,Ponderaciones!$A$87,Ponderaciones!$A$86))</f>
        <v>Alta</v>
      </c>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row>
    <row r="140" spans="1:48" s="27" customFormat="1" ht="15.75" thickBot="1" x14ac:dyDescent="0.3">
      <c r="A140" s="25" t="s">
        <v>118</v>
      </c>
      <c r="B140" s="26" t="str">
        <f>IFERROR((VLOOKUP('Datos de entrada'!$B$54,Ponderaciones!$A$127:$B$128,2,FALSE)*Ponderaciones!$F$120)+(VLOOKUP('Datos de entrada'!$B$55,Ponderaciones!$D$127:$E$128,2,FALSE)*Ponderaciones!$F$121)+(VLOOKUP('Datos de entrada'!$B$56,Ponderaciones!$G$127:$H$131,2,FALSE)*Ponderaciones!$F$122)+((VLOOKUP('Datos de entrada'!$B$57,Ponderaciones!$A$133:$B$137,2,FALSE)*Ponderaciones!$F$123)),"")</f>
        <v/>
      </c>
      <c r="C140" s="22" t="str">
        <f>IF($B$140&lt;Ponderaciones!$C$122,Ponderaciones!A122,IF($B$140&lt;Ponderaciones!$C$120,Ponderaciones!$A$121,IF($B$140&lt;=10,Ponderaciones!$A$120,"")))</f>
        <v/>
      </c>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row>
    <row r="141" spans="1:48" s="27" customFormat="1" ht="19.5" thickBot="1" x14ac:dyDescent="0.3">
      <c r="A141" s="260" t="s">
        <v>95</v>
      </c>
      <c r="B141" s="18" t="s">
        <v>108</v>
      </c>
      <c r="C141" s="20" t="s">
        <v>109</v>
      </c>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row>
    <row r="142" spans="1:48" s="27" customFormat="1" ht="21.75" thickBot="1" x14ac:dyDescent="0.3">
      <c r="A142" s="261"/>
      <c r="B142" s="16" t="str" cm="1">
        <f t="array" ref="B142">IFERROR(INDEX(Ponderaciones!$G$145:$G$172,MATCH($C$134&amp;$C$135&amp;$C$140,INDEX(Ponderaciones!$D$145:$D$172&amp;Ponderaciones!$E$145:$E$172&amp;Ponderaciones!$F$145:$F$172,),0),1),"")</f>
        <v/>
      </c>
      <c r="C142" s="15" t="str">
        <f>IFERROR(VLOOKUP(B142,Ponderaciones!$A$145:$B$150,2,FALSE),"")</f>
        <v/>
      </c>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row>
    <row r="144" spans="1:48" ht="15.75" thickBot="1" x14ac:dyDescent="0.3"/>
    <row r="145" spans="1:26" ht="19.5" thickBot="1" x14ac:dyDescent="0.3">
      <c r="A145" s="18" t="s">
        <v>157</v>
      </c>
      <c r="B145" s="277" t="str">
        <f>IF(OR($B$142=1,$B$142=2,$B$142=3), 'Medidas Escenarios'!$B$7, IF('Datos de entrada'!$B$36=Ponderaciones!$G$49, 'Medidas Escenarios'!$B$9,'Medidas Escenarios'!$B$8))</f>
        <v>Dado el contexto del proyecto, no es recomendable desarrollar un sistema de tratamiento de residuos sólidos órganicos hasta que las condiciones administrativas, técnicas y económicas así lo ameriten.</v>
      </c>
      <c r="C145" s="278"/>
      <c r="D145" s="278"/>
      <c r="E145" s="278"/>
      <c r="F145" s="279"/>
    </row>
    <row r="146" spans="1:26" ht="18.75" customHeight="1" x14ac:dyDescent="0.25">
      <c r="A146" s="262" t="s">
        <v>158</v>
      </c>
      <c r="B146" s="265" t="str">
        <f>IFERROR(VLOOKUP($B$142,'Medidas Escenarios'!$A$1:$B$6,2,FALSE),"")</f>
        <v/>
      </c>
      <c r="C146" s="266"/>
      <c r="D146" s="266"/>
      <c r="E146" s="266"/>
      <c r="F146" s="267"/>
      <c r="G146" s="51"/>
      <c r="H146" s="51"/>
      <c r="I146" s="51"/>
      <c r="J146" s="51"/>
      <c r="K146" s="51"/>
      <c r="L146" s="51"/>
      <c r="M146" s="51"/>
      <c r="N146" s="51"/>
      <c r="O146" s="51"/>
      <c r="P146" s="51"/>
      <c r="Q146" s="51"/>
      <c r="R146" s="17"/>
      <c r="S146" s="51"/>
      <c r="T146" s="17"/>
      <c r="U146" s="17"/>
      <c r="V146" s="17"/>
      <c r="W146" s="17"/>
      <c r="X146" s="17"/>
      <c r="Y146" s="17"/>
      <c r="Z146" s="17"/>
    </row>
    <row r="147" spans="1:26" x14ac:dyDescent="0.25">
      <c r="A147" s="263"/>
      <c r="B147" s="268"/>
      <c r="C147" s="269"/>
      <c r="D147" s="269"/>
      <c r="E147" s="269"/>
      <c r="F147" s="270"/>
      <c r="G147" s="51"/>
      <c r="H147" s="51"/>
      <c r="I147" s="51"/>
      <c r="J147" s="51"/>
      <c r="K147" s="51"/>
      <c r="L147" s="51"/>
      <c r="M147" s="51"/>
      <c r="N147" s="51"/>
      <c r="O147" s="51"/>
      <c r="P147" s="51"/>
      <c r="Q147" s="51"/>
      <c r="R147" s="17"/>
      <c r="S147" s="51"/>
      <c r="T147" s="17"/>
      <c r="U147" s="17"/>
      <c r="V147" s="17"/>
      <c r="W147" s="17"/>
      <c r="X147" s="17"/>
      <c r="Y147" s="17"/>
      <c r="Z147" s="17"/>
    </row>
    <row r="148" spans="1:26" x14ac:dyDescent="0.25">
      <c r="A148" s="263"/>
      <c r="B148" s="268"/>
      <c r="C148" s="269"/>
      <c r="D148" s="269"/>
      <c r="E148" s="269"/>
      <c r="F148" s="270"/>
      <c r="G148" s="51"/>
      <c r="H148" s="51"/>
      <c r="I148" s="51"/>
      <c r="J148" s="51"/>
      <c r="K148" s="51"/>
      <c r="L148" s="51"/>
      <c r="M148" s="51"/>
      <c r="N148" s="51"/>
      <c r="O148" s="51"/>
      <c r="P148" s="51"/>
      <c r="Q148" s="51"/>
      <c r="R148" s="17"/>
      <c r="S148" s="51"/>
      <c r="T148" s="17"/>
      <c r="U148" s="17"/>
      <c r="V148" s="17"/>
      <c r="W148" s="17"/>
      <c r="X148" s="17"/>
      <c r="Y148" s="17"/>
      <c r="Z148" s="17"/>
    </row>
    <row r="149" spans="1:26" x14ac:dyDescent="0.25">
      <c r="A149" s="263"/>
      <c r="B149" s="268"/>
      <c r="C149" s="269"/>
      <c r="D149" s="269"/>
      <c r="E149" s="269"/>
      <c r="F149" s="270"/>
      <c r="G149" s="51"/>
      <c r="H149" s="51"/>
      <c r="I149" s="51"/>
      <c r="J149" s="51"/>
      <c r="K149" s="51"/>
      <c r="L149" s="51"/>
      <c r="M149" s="51"/>
      <c r="N149" s="51"/>
      <c r="O149" s="51"/>
      <c r="P149" s="51"/>
      <c r="Q149" s="51"/>
      <c r="R149" s="17"/>
      <c r="S149" s="51"/>
      <c r="T149" s="17"/>
      <c r="U149" s="17"/>
      <c r="V149" s="17"/>
      <c r="W149" s="17"/>
      <c r="X149" s="17"/>
      <c r="Y149" s="17"/>
      <c r="Z149" s="17"/>
    </row>
    <row r="150" spans="1:26" x14ac:dyDescent="0.25">
      <c r="A150" s="263"/>
      <c r="B150" s="268"/>
      <c r="C150" s="269"/>
      <c r="D150" s="269"/>
      <c r="E150" s="269"/>
      <c r="F150" s="270"/>
      <c r="G150" s="51"/>
      <c r="H150" s="51"/>
      <c r="I150" s="51"/>
      <c r="J150" s="51"/>
      <c r="K150" s="51"/>
      <c r="L150" s="51"/>
      <c r="M150" s="51"/>
      <c r="N150" s="51"/>
      <c r="O150" s="51"/>
      <c r="P150" s="51"/>
      <c r="Q150" s="51"/>
      <c r="R150" s="17"/>
      <c r="S150" s="51"/>
      <c r="T150" s="17"/>
      <c r="U150" s="17"/>
      <c r="V150" s="17"/>
      <c r="W150" s="17"/>
      <c r="X150" s="17"/>
      <c r="Y150" s="17"/>
      <c r="Z150" s="17"/>
    </row>
    <row r="151" spans="1:26" ht="82.5" customHeight="1" thickBot="1" x14ac:dyDescent="0.3">
      <c r="A151" s="264"/>
      <c r="B151" s="271"/>
      <c r="C151" s="272"/>
      <c r="D151" s="272"/>
      <c r="E151" s="272"/>
      <c r="F151" s="273"/>
      <c r="G151" s="51"/>
      <c r="H151" s="51"/>
      <c r="I151" s="51"/>
      <c r="J151" s="51"/>
      <c r="K151" s="51"/>
      <c r="L151" s="51"/>
      <c r="M151" s="51"/>
      <c r="N151" s="51"/>
      <c r="O151" s="51"/>
      <c r="P151" s="51"/>
      <c r="Q151" s="51"/>
      <c r="R151" s="17"/>
      <c r="S151" s="51"/>
      <c r="T151" s="17"/>
      <c r="U151" s="17"/>
      <c r="V151" s="17"/>
      <c r="W151" s="17"/>
      <c r="X151" s="17"/>
      <c r="Y151" s="17"/>
      <c r="Z151" s="17"/>
    </row>
    <row r="154" spans="1:26" ht="15.75" thickBot="1" x14ac:dyDescent="0.3">
      <c r="X154" s="259" t="s">
        <v>159</v>
      </c>
      <c r="Y154" s="259"/>
      <c r="Z154" s="259"/>
    </row>
    <row r="155" spans="1:26" s="17" customFormat="1" ht="86.25" customHeight="1" thickBot="1" x14ac:dyDescent="0.3">
      <c r="A155" s="52" t="s">
        <v>160</v>
      </c>
      <c r="B155" s="52" t="s">
        <v>161</v>
      </c>
      <c r="C155" s="18" t="s">
        <v>162</v>
      </c>
      <c r="D155" s="35" t="s">
        <v>163</v>
      </c>
      <c r="E155" s="53" t="s">
        <v>160</v>
      </c>
      <c r="F155" s="35" t="s">
        <v>164</v>
      </c>
      <c r="G155" s="35" t="s">
        <v>165</v>
      </c>
      <c r="H155" s="35" t="s">
        <v>166</v>
      </c>
      <c r="I155" s="35" t="s">
        <v>167</v>
      </c>
      <c r="J155" s="53" t="s">
        <v>160</v>
      </c>
      <c r="K155" s="35" t="s">
        <v>168</v>
      </c>
      <c r="L155" s="35" t="s">
        <v>169</v>
      </c>
      <c r="M155" s="35" t="s">
        <v>170</v>
      </c>
      <c r="N155" s="35" t="s">
        <v>171</v>
      </c>
      <c r="O155" s="53" t="s">
        <v>160</v>
      </c>
      <c r="P155" s="35" t="s">
        <v>172</v>
      </c>
      <c r="Q155" s="53" t="s">
        <v>160</v>
      </c>
      <c r="R155" s="35" t="s">
        <v>173</v>
      </c>
      <c r="S155" s="53" t="s">
        <v>160</v>
      </c>
      <c r="T155" s="36" t="s">
        <v>174</v>
      </c>
      <c r="U155" s="78" t="s">
        <v>160</v>
      </c>
      <c r="V155" s="36" t="s">
        <v>175</v>
      </c>
      <c r="W155" s="78" t="s">
        <v>160</v>
      </c>
      <c r="X155" s="36" t="s">
        <v>168</v>
      </c>
      <c r="Y155" s="36" t="s">
        <v>169</v>
      </c>
      <c r="Z155" s="36" t="s">
        <v>170</v>
      </c>
    </row>
    <row r="156" spans="1:26" x14ac:dyDescent="0.25">
      <c r="A156" s="54">
        <f>(IFERROR((W156*Ponderaciones!$F$180)+(Cálculo!O156*Ponderaciones!$F$181)+(Cálculo!Q156*Ponderaciones!$F$182)+(Cálculo!S156*Ponderaciones!$F$183)+(Cálculo!U156*Ponderaciones!$F$184)+(J156*Ponderaciones!$F$185),""))*IF(B127&gt;Valoración!C3,0,1)</f>
        <v>6.35</v>
      </c>
      <c r="B156" s="55">
        <f>IFERROR(_xlfn.RANK.EQ(A156,$A$156:$A$160,0),"")</f>
        <v>1</v>
      </c>
      <c r="C156" s="28" t="str">
        <f>+'Fichas técnicas Tecnologías'!$A$3</f>
        <v>Compostaje en pilas con volteo manual</v>
      </c>
      <c r="D156" s="37">
        <f>Valoración!M3</f>
        <v>0</v>
      </c>
      <c r="E156" s="56">
        <f>IF(D156&lt;=Ponderaciones!$A$194,Ponderaciones!$B$194,IF(D156&lt;=Ponderaciones!$A$193,Ponderaciones!$B$193, IF(D156&lt;=Ponderaciones!$A$192,Ponderaciones!$B$192,IF(D156&lt;=Ponderaciones!$A$191,Ponderaciones!$B$191,Ponderaciones!$B$190))))</f>
        <v>0</v>
      </c>
      <c r="F156" s="38">
        <f>'Costos de inversión'!$N$17*(1.03^('Datos de entrada'!$B$5-2021))</f>
        <v>2.4326315231967045E-16</v>
      </c>
      <c r="G156" s="38">
        <f>+'Costos de operación'!$N$13*(1.03^('Datos de entrada'!$B$5-2021))</f>
        <v>0</v>
      </c>
      <c r="H156" s="38">
        <f>F156+G156</f>
        <v>2.4326315231967045E-16</v>
      </c>
      <c r="I156" s="56">
        <f>_xlfn.RANK.EQ(H156,$H$156:$H$160,1)</f>
        <v>1</v>
      </c>
      <c r="J156" s="56">
        <f>IFERROR(IF(I156=Ponderaciones!$G$190,Ponderaciones!$H$190,IF(I156=Ponderaciones!$G$191,Ponderaciones!$H$191,IF(I156=Ponderaciones!$G$192,Ponderaciones!$H$192,Ponderaciones!$H$193))),"")</f>
        <v>10</v>
      </c>
      <c r="K156" s="43">
        <f>ROUND('Datos de entrada'!$B$59*$B$127*'Datos de entrada'!$B$8*(1.03^('Datos de entrada'!$B$5-2021)),-6)</f>
        <v>0</v>
      </c>
      <c r="L156" s="43">
        <f>ROUND($B$128*'Datos de entrada'!$B$8*'Fichas técnicas Tecnologías'!$Q$3*'Fichas técnicas Tecnologías'!$R$3*'Datos de entrada'!$B$61,-6)</f>
        <v>0</v>
      </c>
      <c r="M156" s="42">
        <f>+K156+L156</f>
        <v>0</v>
      </c>
      <c r="N156" s="40" t="str">
        <f>IF(M156/H156&lt;1,Ponderaciones!$D$192,IF(M156/H156=1,Ponderaciones!$D$191,IF(M156/H156&gt;1,Ponderaciones!$D$190,"Error")))</f>
        <v>Menor a 1</v>
      </c>
      <c r="O156" s="56">
        <f>IF(N156=Ponderaciones!$D$190,Ponderaciones!$E$190,IF(N156=Ponderaciones!$D$191,Ponderaciones!$E$191,IF(N156=Ponderaciones!$D$192,Ponderaciones!$E$192,"")))</f>
        <v>1</v>
      </c>
      <c r="P156" s="56">
        <f>'Fichas técnicas Tecnologías'!Z3*'Fichas técnicas Tecnologías'!N3</f>
        <v>0</v>
      </c>
      <c r="Q156" s="56">
        <f>IF(_xlfn.RANK.EQ(P156,$P$156:$P$160,0)=Ponderaciones!$G$190,Ponderaciones!$H$190,IF(_xlfn.RANK.EQ(P156,$P$156:$P$160,0)=Ponderaciones!$G$191,Ponderaciones!$H$191,IF(_xlfn.RANK.EQ(P156,$P$156:$P$160,0)=Ponderaciones!$G$192,Ponderaciones!$H$192,Ponderaciones!$H$193)))</f>
        <v>8</v>
      </c>
      <c r="R156" s="56">
        <f>($B$127)*'Fichas técnicas Tecnologías'!O3</f>
        <v>0</v>
      </c>
      <c r="S156" s="56">
        <f>IFERROR(IF(_xlfn.RANK.EQ(R156,$R$156:$R$160,0)=Ponderaciones!$A$199,Ponderaciones!$B$199,IF(_xlfn.RANK.EQ(R156,$R$156:$R$160,0)=Ponderaciones!$A$200,Ponderaciones!$B$200, IF(_xlfn.RANK.EQ(R156,$R$156:$R$160,0)=Ponderaciones!$A$201,Ponderaciones!$B$201,Ponderaciones!$B$202))),"")</f>
        <v>10</v>
      </c>
      <c r="T156" s="45">
        <f>'Fichas técnicas Tecnologías'!P3</f>
        <v>0.42</v>
      </c>
      <c r="U156" s="79">
        <f>IFERROR(IF(T156&lt;=Ponderaciones!$D$203,Ponderaciones!$E$203,IF(T156&lt;=Ponderaciones!$D$202,Ponderaciones!$E$202,IF(T156&lt;=Ponderaciones!$D$201,Ponderaciones!$E$201,IF(T156&lt;=Ponderaciones!$D$200,Ponderaciones!$E$200,Ponderaciones!$E$199)))),"")</f>
        <v>4</v>
      </c>
      <c r="V156" s="45" t="str">
        <f>IF(VLOOKUP(ROUNDDOWN(AVERAGE($B$2:$B$121),0),'Información municipios'!$O$3:$S$6,4,FALSE)=Cálculo!C156,Ponderaciones!$A$190,IF(VLOOKUP(ROUNDDOWN(AVERAGE($B$2:$B$121),0),'Información municipios'!$O$3:$S$6,5,FALSE)=Cálculo!C156,Ponderaciones!$A$191,Ponderaciones!$A$192))</f>
        <v>Tecología más apropiada</v>
      </c>
      <c r="W156" s="79">
        <f>IFERROR(VLOOKUP(V156,Ponderaciones!$A$190:$B$192,2,FALSE)*Ponderaciones!$F$180,"")</f>
        <v>4</v>
      </c>
      <c r="X156" s="177">
        <f>'Datos de entrada'!$B$59*$B$128*'Datos de entrada'!$B$8*(1.03^('Datos de entrada'!$B$5-2021))</f>
        <v>0</v>
      </c>
      <c r="Y156" s="177">
        <f>$B$128*'Datos de entrada'!$B$8*'Fichas técnicas Tecnologías'!$Q$3*'Fichas técnicas Tecnologías'!$R$3*'Datos de entrada'!$B$61*(1.03^('Datos de entrada'!$B$5-2021))</f>
        <v>0</v>
      </c>
      <c r="Z156" s="177">
        <f>+X156+Y156</f>
        <v>0</v>
      </c>
    </row>
    <row r="157" spans="1:26" x14ac:dyDescent="0.25">
      <c r="A157" s="54">
        <f>IFERROR((W157*Ponderaciones!$F$180)+(Cálculo!O157*Ponderaciones!$F$181)+(Cálculo!Q157*Ponderaciones!$F$182)+(Cálculo!S157*Ponderaciones!$F$183)+(Cálculo!U157*Ponderaciones!$F$184)+(J157*Ponderaciones!$F$185),"")*IF(B127&gt;Valoración!C4,0,1)</f>
        <v>4.95</v>
      </c>
      <c r="B157" s="55">
        <f>IFERROR(_xlfn.RANK.EQ(A157,$A$156:$A$160,0),"")</f>
        <v>2</v>
      </c>
      <c r="C157" s="29" t="str">
        <f>+'Fichas técnicas Tecnologías'!$A$4</f>
        <v>Compostaje en pilas con aireación forzada</v>
      </c>
      <c r="D157" s="31">
        <f>Valoración!M4</f>
        <v>0</v>
      </c>
      <c r="E157" s="57">
        <f>IF(D157&lt;=Ponderaciones!$A$194,Ponderaciones!$B$194,IF(D157&lt;=Ponderaciones!$A$193,Ponderaciones!$B$193, IF(D157&lt;=Ponderaciones!$A$192,Ponderaciones!$B$192,IF(D157&lt;=Ponderaciones!$A$191,Ponderaciones!$B$191,Ponderaciones!$B$190))))</f>
        <v>0</v>
      </c>
      <c r="F157" s="32">
        <f>+'Costos de inversión'!$N$38*(1.03^('Datos de entrada'!$B$5-2021))</f>
        <v>2.723513556350834E-16</v>
      </c>
      <c r="G157" s="32">
        <f>+'Costos de operación'!$N$28*(1.03^('Datos de entrada'!$B$5-2021))</f>
        <v>0</v>
      </c>
      <c r="H157" s="32">
        <f>F157+G157</f>
        <v>2.723513556350834E-16</v>
      </c>
      <c r="I157" s="57">
        <f>_xlfn.RANK.EQ(H157,$H$156:$H$160,1)</f>
        <v>2</v>
      </c>
      <c r="J157" s="57">
        <f>IFERROR(IF(I157=Ponderaciones!$G$190,Ponderaciones!$H$190,IF(I157=Ponderaciones!$G$191,Ponderaciones!$H$191,IF(I157=Ponderaciones!$G$192,Ponderaciones!$H$192,Ponderaciones!$H$193))),"")</f>
        <v>8</v>
      </c>
      <c r="K157" s="43">
        <f>ROUND('Datos de entrada'!$B$59*$B$127*'Datos de entrada'!$B$8*(1.03^('Datos de entrada'!$B$5-2021)),-6)</f>
        <v>0</v>
      </c>
      <c r="L157" s="43">
        <f>ROUND($B$128*'Datos de entrada'!$B$8*'Fichas técnicas Tecnologías'!$Q$4*'Fichas técnicas Tecnologías'!$R$4*'Datos de entrada'!$B$61,-6)</f>
        <v>0</v>
      </c>
      <c r="M157" s="43">
        <f>+K157+L157</f>
        <v>0</v>
      </c>
      <c r="N157" s="41" t="str">
        <f>IF(M157/H157&lt;1,Ponderaciones!$D$192,IF(M157/H157=1,Ponderaciones!$D$191,IF(M157/H157&gt;1,Ponderaciones!$D$190,"Error")))</f>
        <v>Menor a 1</v>
      </c>
      <c r="O157" s="57">
        <f>IF(N157=Ponderaciones!$D$190,Ponderaciones!$E$190,IF(N157=Ponderaciones!$D$191,Ponderaciones!$E$191,IF(N157=Ponderaciones!$D$192,Ponderaciones!$E$192,"")))</f>
        <v>1</v>
      </c>
      <c r="P157" s="57">
        <f>'Fichas técnicas Tecnologías'!Z4*'Fichas técnicas Tecnologías'!N4</f>
        <v>0</v>
      </c>
      <c r="Q157" s="57">
        <f>IF(_xlfn.RANK.EQ(P157,$P$156:$P$160,0)=Ponderaciones!$G$190,Ponderaciones!$H$190,IF(_xlfn.RANK.EQ(P157,$P$156:$P$160,0)=Ponderaciones!$G$191,Ponderaciones!$H$191,IF(_xlfn.RANK.EQ(P157,$P$156:$P$160,0)=Ponderaciones!$G$192,Ponderaciones!$H$192,Ponderaciones!$H$193)))</f>
        <v>8</v>
      </c>
      <c r="R157" s="57">
        <f>$B$127*'Fichas técnicas Tecnologías'!O4</f>
        <v>0</v>
      </c>
      <c r="S157" s="57">
        <f>IFERROR(IF(_xlfn.RANK.EQ(R157,$R$156:$R$160,0)=Ponderaciones!$A$199,Ponderaciones!$B$199,IF(_xlfn.RANK.EQ(R157,$R$156:$R$160,0)=Ponderaciones!$A$200,Ponderaciones!$B$200, IF(_xlfn.RANK.EQ(R157,$R$156:$R$160,0)=Ponderaciones!$A$201,Ponderaciones!$B$201,Ponderaciones!$B$202))),"")</f>
        <v>10</v>
      </c>
      <c r="T157" s="46">
        <f>'Fichas técnicas Tecnologías'!P4</f>
        <v>0.4</v>
      </c>
      <c r="U157" s="80">
        <f>IFERROR(IF(T157&lt;=Ponderaciones!$D$203,Ponderaciones!$E$203,IF(T157&lt;=Ponderaciones!$D$202,Ponderaciones!$E$202,IF(T157&lt;=Ponderaciones!$D$201,Ponderaciones!$E$201,IF(T157&lt;=Ponderaciones!$D$200,Ponderaciones!$E$200,Ponderaciones!$E$199)))),"")</f>
        <v>4</v>
      </c>
      <c r="V157" s="46" t="str">
        <f>IF(VLOOKUP(ROUNDDOWN(AVERAGE($B$2:$B$121),0),'Información municipios'!$O$3:$S$6,4,FALSE)=Cálculo!C157,Ponderaciones!$A$190,IF(VLOOKUP(ROUNDDOWN(AVERAGE($B$2:$B$121),0),'Información municipios'!$O$3:$S$6,5,FALSE)=Cálculo!C157,Ponderaciones!$A$191,Ponderaciones!$A$192))</f>
        <v xml:space="preserve">Tecnología apropiada </v>
      </c>
      <c r="W157" s="80">
        <f>IFERROR(VLOOKUP(V157,Ponderaciones!$A$190:$B$192,2,FALSE)*Ponderaciones!$F$180,"")</f>
        <v>2</v>
      </c>
      <c r="X157" s="178">
        <f>'Datos de entrada'!$B$59*$B$128*'Datos de entrada'!$B$8*(1.03^('Datos de entrada'!$B$5-2021))</f>
        <v>0</v>
      </c>
      <c r="Y157" s="178">
        <f>$B$128*'Datos de entrada'!$B$8*'Fichas técnicas Tecnologías'!$Q$3*'Fichas técnicas Tecnologías'!$R$3*'Datos de entrada'!$B$61*(1.03^('Datos de entrada'!$B$5-2021))</f>
        <v>0</v>
      </c>
      <c r="Z157" s="178">
        <f>+X157+Y157</f>
        <v>0</v>
      </c>
    </row>
    <row r="158" spans="1:26" x14ac:dyDescent="0.25">
      <c r="A158" s="54">
        <f>IFERROR((W158*Ponderaciones!$F$180)+(Cálculo!O158*Ponderaciones!$F$181)+(Cálculo!Q158*Ponderaciones!$F$182)+(Cálculo!S158*Ponderaciones!$F$183)+(Cálculo!U158*Ponderaciones!$F$184)+(J158*Ponderaciones!$F$185),"")</f>
        <v>4.0299999999999994</v>
      </c>
      <c r="B158" s="55">
        <f>IFERROR(_xlfn.RANK.EQ(A158,$A$156:$A$160,0),"")</f>
        <v>4</v>
      </c>
      <c r="C158" s="29" t="str">
        <f>+'Fichas técnicas Tecnologías'!$A$5</f>
        <v>Compostaje cerrado o "In vessel"</v>
      </c>
      <c r="D158" s="31">
        <f>Valoración!M5</f>
        <v>0</v>
      </c>
      <c r="E158" s="57">
        <f>IF(D158&lt;=Ponderaciones!$A$194,Ponderaciones!$B$194,IF(D158&lt;=Ponderaciones!$A$193,Ponderaciones!$B$193, IF(D158&lt;=Ponderaciones!$A$192,Ponderaciones!$B$192,IF(D158&lt;=Ponderaciones!$A$191,Ponderaciones!$B$191,Ponderaciones!$B$190))))</f>
        <v>0</v>
      </c>
      <c r="F158" s="32">
        <f>+'Costos de inversión'!$N$58*(1.03^('Datos de entrada'!$B$5-2021))</f>
        <v>3.8290227685833413E-16</v>
      </c>
      <c r="G158" s="32">
        <f>+'Costos de operación'!$N$42*(1.03^('Datos de entrada'!$B$5-2021))</f>
        <v>0</v>
      </c>
      <c r="H158" s="32">
        <f>F158+G158</f>
        <v>3.8290227685833413E-16</v>
      </c>
      <c r="I158" s="57">
        <f>_xlfn.RANK.EQ(H158,$H$156:$H$160,1)</f>
        <v>3</v>
      </c>
      <c r="J158" s="57">
        <f>IFERROR(IF(I158=Ponderaciones!$G$190,Ponderaciones!$H$190,IF(I158=Ponderaciones!$G$191,Ponderaciones!$H$191,IF(I158=Ponderaciones!$G$192,Ponderaciones!$H$192,Ponderaciones!$H$193))),"")</f>
        <v>6</v>
      </c>
      <c r="K158" s="43">
        <f>ROUND('Datos de entrada'!$B$59*$B$127*'Datos de entrada'!$B$8*(1.03^('Datos de entrada'!$B$5-2021)),-6)</f>
        <v>0</v>
      </c>
      <c r="L158" s="43">
        <f>ROUND($B$128*'Datos de entrada'!$B$8*'Fichas técnicas Tecnologías'!$Q$5*'Fichas técnicas Tecnologías'!$R$5*'Datos de entrada'!$B$61,-6)*0</f>
        <v>0</v>
      </c>
      <c r="M158" s="43">
        <f>+K158+L158</f>
        <v>0</v>
      </c>
      <c r="N158" s="41" t="str">
        <f>IF(M158/H158&lt;1,Ponderaciones!$D$192,IF(M158/H158=1,Ponderaciones!$D$191,IF(M158/H158&gt;1,Ponderaciones!$D$190,"Error")))</f>
        <v>Menor a 1</v>
      </c>
      <c r="O158" s="57">
        <f>IF(N158=Ponderaciones!$D$190,Ponderaciones!$E$190,IF(N158=Ponderaciones!$D$191,Ponderaciones!$E$191,IF(N158=Ponderaciones!$D$192,Ponderaciones!$E$192,"")))</f>
        <v>1</v>
      </c>
      <c r="P158" s="57">
        <f>'Fichas técnicas Tecnologías'!Z5*'Fichas técnicas Tecnologías'!N5</f>
        <v>0</v>
      </c>
      <c r="Q158" s="57">
        <f>IF(_xlfn.RANK.EQ(P158,$P$156:$P$160,0)=Ponderaciones!$G$190,Ponderaciones!$H$190,IF(_xlfn.RANK.EQ(P158,$P$156:$P$160,0)=Ponderaciones!$G$191,Ponderaciones!$H$191,IF(_xlfn.RANK.EQ(P158,$P$156:$P$160,0)=Ponderaciones!$G$192,Ponderaciones!$H$192,Ponderaciones!$H$193)))</f>
        <v>8</v>
      </c>
      <c r="R158" s="57">
        <f>$B$127*'Fichas técnicas Tecnologías'!O5</f>
        <v>0</v>
      </c>
      <c r="S158" s="57">
        <f>IFERROR(IF(_xlfn.RANK.EQ(R158,$R$156:$R$160,0)=Ponderaciones!$A$199,Ponderaciones!$B$199,IF(_xlfn.RANK.EQ(R158,$R$156:$R$160,0)=Ponderaciones!$A$200,Ponderaciones!$B$200, IF(_xlfn.RANK.EQ(R158,$R$156:$R$160,0)=Ponderaciones!$A$201,Ponderaciones!$B$201,Ponderaciones!$B$202))),"")</f>
        <v>10</v>
      </c>
      <c r="T158" s="46">
        <f>'Fichas técnicas Tecnologías'!P5</f>
        <v>0.38</v>
      </c>
      <c r="U158" s="80">
        <f>IFERROR(IF(T158&lt;=Ponderaciones!$D$203,Ponderaciones!$E$203,IF(T158&lt;=Ponderaciones!$D$202,Ponderaciones!$E$202,IF(T158&lt;=Ponderaciones!$D$201,Ponderaciones!$E$201,IF(T158&lt;=Ponderaciones!$D$200,Ponderaciones!$E$200,Ponderaciones!$E$199)))),"")</f>
        <v>4</v>
      </c>
      <c r="V158" s="46" t="str">
        <f>IF(VLOOKUP(ROUNDDOWN(AVERAGE($B$2:$B$121),0),'Información municipios'!$O$3:$S$6,4,FALSE)=Cálculo!C158,Ponderaciones!$A$190,IF(VLOOKUP(ROUNDDOWN(AVERAGE($B$2:$B$121),0),'Información municipios'!$O$3:$S$6,5,FALSE)=Cálculo!C158,Ponderaciones!$A$191,Ponderaciones!$A$192))</f>
        <v>Tecnología no apropiada</v>
      </c>
      <c r="W158" s="80">
        <f>IFERROR(VLOOKUP(V158,Ponderaciones!$A$190:$B$192,2,FALSE)*Ponderaciones!$F$180,"")</f>
        <v>1.2000000000000002</v>
      </c>
      <c r="X158" s="178">
        <f>'Datos de entrada'!$B$59*$B$128*'Datos de entrada'!$B$8*(1.03^('Datos de entrada'!$B$5-2021))</f>
        <v>0</v>
      </c>
      <c r="Y158" s="178">
        <f>$B$128*'Datos de entrada'!$B$8*'Fichas técnicas Tecnologías'!$Q$3*'Fichas técnicas Tecnologías'!$R$3*'Datos de entrada'!$B$61*(1.03^('Datos de entrada'!$B$5-2021))</f>
        <v>0</v>
      </c>
      <c r="Z158" s="178">
        <f>+X158+Y158</f>
        <v>0</v>
      </c>
    </row>
    <row r="159" spans="1:26" x14ac:dyDescent="0.25">
      <c r="A159" s="54">
        <f>IFERROR((W159*Ponderaciones!$F$180)+(Cálculo!O159*Ponderaciones!$F$181)+(Cálculo!Q159*Ponderaciones!$F$182)+(Cálculo!S159*Ponderaciones!$F$183)+(Cálculo!U159*Ponderaciones!$F$184)+(J159*Ponderaciones!$F$185),"")</f>
        <v>4.03</v>
      </c>
      <c r="B159" s="55">
        <f>IFERROR(_xlfn.RANK.EQ(A159,$A$156:$A$160,0),"")</f>
        <v>3</v>
      </c>
      <c r="C159" s="29" t="str">
        <f>+'Fichas técnicas Tecnologías'!$A$6</f>
        <v>Tratamiento Mecánico Biológico</v>
      </c>
      <c r="D159" s="31">
        <f>Valoración!M6</f>
        <v>0</v>
      </c>
      <c r="E159" s="57">
        <f>IF(D159&lt;=Ponderaciones!$A$194,Ponderaciones!$B$194,IF(D159&lt;=Ponderaciones!$A$193,Ponderaciones!$B$193, IF(D159&lt;=Ponderaciones!$A$192,Ponderaciones!$B$192,IF(D159&lt;=Ponderaciones!$A$191,Ponderaciones!$B$191,Ponderaciones!$B$190))))</f>
        <v>0</v>
      </c>
      <c r="F159" s="32">
        <f>+'Costos de inversión'!$N$75*(1.03^('Datos de entrada'!$B$5-2021))</f>
        <v>6.1705124062649194E-16</v>
      </c>
      <c r="G159" s="32">
        <f>+'Costos de operación'!$N$58*(1.03^('Datos de entrada'!$B$5-2021))</f>
        <v>0</v>
      </c>
      <c r="H159" s="32">
        <f>F159+G159</f>
        <v>6.1705124062649194E-16</v>
      </c>
      <c r="I159" s="57">
        <f>_xlfn.RANK.EQ(H159,$H$156:$H$160,1)</f>
        <v>4</v>
      </c>
      <c r="J159" s="57">
        <f>IFERROR(IF(I159=Ponderaciones!$G$190,Ponderaciones!$H$190,IF(I159=Ponderaciones!$G$191,Ponderaciones!$H$191,IF(I159=Ponderaciones!$G$192,Ponderaciones!$H$192,Ponderaciones!$H$193))),"")</f>
        <v>4</v>
      </c>
      <c r="K159" s="43">
        <f>ROUND('Datos de entrada'!$B$59*$B$127*'Datos de entrada'!$B$8*(1.03^('Datos de entrada'!$B$5-2021)),-6)</f>
        <v>0</v>
      </c>
      <c r="L159" s="43">
        <f>ROUND($B$128*'Datos de entrada'!$B$8*'Fichas técnicas Tecnologías'!$Q$6*'Fichas técnicas Tecnologías'!$R$6*'Datos de entrada'!$B$61,-6)</f>
        <v>0</v>
      </c>
      <c r="M159" s="43">
        <f>+K159+L159</f>
        <v>0</v>
      </c>
      <c r="N159" s="41" t="str">
        <f>IF(M159/H159&lt;1,Ponderaciones!$D$192,IF(M159/H159=1,Ponderaciones!$D$191,IF(M159/H159&gt;1,Ponderaciones!$D$190,"Error")))</f>
        <v>Menor a 1</v>
      </c>
      <c r="O159" s="57">
        <f>IF(N159=Ponderaciones!$D$190,Ponderaciones!$E$190,IF(N159=Ponderaciones!$D$191,Ponderaciones!$E$191,IF(N159=Ponderaciones!$D$192,Ponderaciones!$E$192,"")))</f>
        <v>1</v>
      </c>
      <c r="P159" s="57">
        <f>'Fichas técnicas Tecnologías'!X6*'Fichas técnicas Tecnologías'!N6</f>
        <v>300000</v>
      </c>
      <c r="Q159" s="57">
        <f>IF(_xlfn.RANK.EQ(P159,$P$156:$P$160,0)=Ponderaciones!$G$190,Ponderaciones!$H$190,IF(_xlfn.RANK.EQ(P159,$P$156:$P$160,0)=Ponderaciones!$G$191,Ponderaciones!$H$191,IF(_xlfn.RANK.EQ(P159,$P$156:$P$160,0)=Ponderaciones!$G$192,Ponderaciones!$H$192,Ponderaciones!$H$193)))</f>
        <v>10</v>
      </c>
      <c r="R159" s="57">
        <f>($B$126)*'Fichas técnicas Tecnologías'!O6</f>
        <v>0</v>
      </c>
      <c r="S159" s="57">
        <f>IFERROR(IF(_xlfn.RANK.EQ(R159,$R$156:$R$160,0)=Ponderaciones!$A$199,Ponderaciones!$B$199,IF(_xlfn.RANK.EQ(R159,$R$156:$R$160,0)=Ponderaciones!$A$200,Ponderaciones!$B$200, IF(_xlfn.RANK.EQ(R159,$R$156:$R$160,0)=Ponderaciones!$A$201,Ponderaciones!$B$201,Ponderaciones!$B$202))),"")</f>
        <v>10</v>
      </c>
      <c r="T159" s="46">
        <f>'Fichas técnicas Tecnologías'!P6</f>
        <v>0.68</v>
      </c>
      <c r="U159" s="80">
        <f>IFERROR(IF(T159&lt;=Ponderaciones!$D$203,Ponderaciones!$E$203,IF(T159&lt;=Ponderaciones!$D$202,Ponderaciones!$E$202,IF(T159&lt;=Ponderaciones!$D$201,Ponderaciones!$E$201,IF(T159&lt;=Ponderaciones!$D$200,Ponderaciones!$E$200,Ponderaciones!$E$199)))),"")</f>
        <v>8</v>
      </c>
      <c r="V159" s="46" t="str">
        <f>IF(VLOOKUP(ROUNDDOWN(AVERAGE($B$2:$B$121),0),'Información municipios'!$O$3:$S$6,4,FALSE)=Cálculo!C159,Ponderaciones!$A$190,IF(VLOOKUP(ROUNDDOWN(AVERAGE($B$2:$B$121),0),'Información municipios'!$O$3:$S$6,5,FALSE)=Cálculo!C159,Ponderaciones!$A$191,Ponderaciones!$A$192))</f>
        <v>Tecnología no apropiada</v>
      </c>
      <c r="W159" s="80">
        <f>IFERROR(VLOOKUP(V159,Ponderaciones!$A$190:$B$192,2,FALSE)*Ponderaciones!$F$180,"")</f>
        <v>1.2000000000000002</v>
      </c>
      <c r="X159" s="178">
        <f>'Datos de entrada'!$B$59*$B$128*'Datos de entrada'!$B$8*(1.03^('Datos de entrada'!$B$5-2021))</f>
        <v>0</v>
      </c>
      <c r="Y159" s="178">
        <f>$B$128*'Datos de entrada'!$B$8*'Fichas técnicas Tecnologías'!$Q$3*'Fichas técnicas Tecnologías'!$R$3*'Datos de entrada'!$B$61*(1.03^('Datos de entrada'!$B$5-2021))</f>
        <v>0</v>
      </c>
      <c r="Z159" s="178">
        <f>+X159+Y159</f>
        <v>0</v>
      </c>
    </row>
    <row r="160" spans="1:26" ht="15.75" thickBot="1" x14ac:dyDescent="0.3">
      <c r="A160" s="58">
        <f>IFERROR((W160*Ponderaciones!$F$180)+(Cálculo!O160*Ponderaciones!$F$181)+(Cálculo!Q160*Ponderaciones!$F$182)+(Cálculo!S160*Ponderaciones!$F$183)+(Cálculo!U160*Ponderaciones!$F$184)+(J160*Ponderaciones!$F$185),"")</f>
        <v>3.63</v>
      </c>
      <c r="B160" s="59">
        <f>IFERROR(_xlfn.RANK.EQ(A160,$A$156:$A$160,0),"")</f>
        <v>5</v>
      </c>
      <c r="C160" s="30" t="str">
        <f>+'Fichas técnicas Tecnologías'!$A$9</f>
        <v>Digestión Anaerobia</v>
      </c>
      <c r="D160" s="33">
        <f>Valoración!M7</f>
        <v>0</v>
      </c>
      <c r="E160" s="60">
        <f>IF(D160&lt;=Ponderaciones!$A$194,Ponderaciones!$B$194,IF(D160&lt;=Ponderaciones!$A$193,Ponderaciones!$B$193, IF(D160&lt;=Ponderaciones!$A$192,Ponderaciones!$B$192,IF(D160&lt;=Ponderaciones!$A$191,Ponderaciones!$B$191,Ponderaciones!$B$190))))</f>
        <v>0</v>
      </c>
      <c r="F160" s="34">
        <f>+'Costos de inversión'!$N$89*(1.03^('Datos de entrada'!$B$5-2021))</f>
        <v>2.8700997497975987E-15</v>
      </c>
      <c r="G160" s="34">
        <f>+'Costos de operación'!$N$74*(1.03^('Datos de entrada'!$B$5-2021))</f>
        <v>0</v>
      </c>
      <c r="H160" s="34">
        <f>F160+G160</f>
        <v>2.8700997497975987E-15</v>
      </c>
      <c r="I160" s="60">
        <f>_xlfn.RANK.EQ(H160,$H$156:$H$160,1)</f>
        <v>5</v>
      </c>
      <c r="J160" s="60">
        <f>IFERROR(IF(I160=Ponderaciones!$G$190,Ponderaciones!$H$190,IF(I160=Ponderaciones!$G$191,Ponderaciones!$H$191,IF(I160=Ponderaciones!$G$192,Ponderaciones!$H$192,Ponderaciones!$H$193))),"")</f>
        <v>4</v>
      </c>
      <c r="K160" s="44">
        <f>ROUND('Datos de entrada'!$B$59*$B$127*'Datos de entrada'!$B$8*(1.03^('Datos de entrada'!$B$5-2021)),-6)</f>
        <v>0</v>
      </c>
      <c r="L160" s="44">
        <f>ROUND($B$128*'Datos de entrada'!$B$8*'Fichas técnicas Tecnologías'!$Q$9*'Fichas técnicas Tecnologías'!$R$9*'Datos de entrada'!$B$61,-6)*0</f>
        <v>0</v>
      </c>
      <c r="M160" s="44">
        <f>+K160+L160</f>
        <v>0</v>
      </c>
      <c r="N160" s="81" t="str">
        <f>IF(M160/H160&lt;1,Ponderaciones!$D$192,IF(M160/H160=1,Ponderaciones!$D$191,IF(M160/H160&gt;1,Ponderaciones!$D$190,"Error")))</f>
        <v>Menor a 1</v>
      </c>
      <c r="O160" s="60">
        <f>IF(N160=Ponderaciones!$D$190,Ponderaciones!$E$190,IF(N160=Ponderaciones!$D$191,Ponderaciones!$E$191,IF(N160=Ponderaciones!$D$192,Ponderaciones!$E$192,"")))</f>
        <v>1</v>
      </c>
      <c r="P160" s="60">
        <f>'Fichas técnicas Tecnologías'!Z9*'Fichas técnicas Tecnologías'!N9</f>
        <v>0</v>
      </c>
      <c r="Q160" s="60">
        <f>IF(_xlfn.RANK.EQ(P160,$P$156:$P$160,0)=Ponderaciones!$G$190,Ponderaciones!$H$190,IF(_xlfn.RANK.EQ(P160,$P$156:$P$160,0)=Ponderaciones!$G$191,Ponderaciones!$H$191,IF(_xlfn.RANK.EQ(P160,$P$156:$P$160,0)=Ponderaciones!$G$192,Ponderaciones!$H$192,Ponderaciones!$H$193)))</f>
        <v>8</v>
      </c>
      <c r="R160" s="60">
        <f>$B$127*'Fichas técnicas Tecnologías'!O9</f>
        <v>0</v>
      </c>
      <c r="S160" s="60">
        <f>IFERROR(IF(_xlfn.RANK.EQ(R160,$R$156:$R$160,0)=Ponderaciones!$A$199,Ponderaciones!$B$199,IF(_xlfn.RANK.EQ(R160,$R$156:$R$160,0)=Ponderaciones!$A$200,Ponderaciones!$B$200, IF(_xlfn.RANK.EQ(R160,$R$156:$R$160,0)=Ponderaciones!$A$201,Ponderaciones!$B$201,Ponderaciones!$B$202))),"")</f>
        <v>10</v>
      </c>
      <c r="T160" s="47">
        <f>'Fichas técnicas Tecnologías'!P9</f>
        <v>0.57999999999999996</v>
      </c>
      <c r="U160" s="82">
        <f>IFERROR(IF(T160&lt;=Ponderaciones!$D$203,Ponderaciones!$E$203,IF(T160&lt;=Ponderaciones!$D$202,Ponderaciones!$E$202,IF(T160&lt;=Ponderaciones!$D$201,Ponderaciones!$E$201,IF(T160&lt;=Ponderaciones!$D$200,Ponderaciones!$E$200,Ponderaciones!$E$199)))),"")</f>
        <v>6</v>
      </c>
      <c r="V160" s="47" t="str">
        <f>IF(VLOOKUP(ROUNDDOWN(AVERAGE($B$2:$B$121),0),'Información municipios'!$O$3:$S$6,4,FALSE)=Cálculo!C160,Ponderaciones!$A$190,IF(VLOOKUP(ROUNDDOWN(AVERAGE($B$2:$B$121),0),'Información municipios'!$O$3:$S$6,5,FALSE)=Cálculo!C160,Ponderaciones!$A$191,Ponderaciones!$A$192))</f>
        <v>Tecnología no apropiada</v>
      </c>
      <c r="W160" s="82">
        <f>IFERROR(VLOOKUP(V160,Ponderaciones!$A$190:$B$192,2,FALSE)*Ponderaciones!$F$180,"")</f>
        <v>1.2000000000000002</v>
      </c>
      <c r="X160" s="179">
        <f>'Datos de entrada'!$B$59*$B$128*'Datos de entrada'!$B$8*(1.03^('Datos de entrada'!$B$5-2021))</f>
        <v>0</v>
      </c>
      <c r="Y160" s="179">
        <f>$B$128*'Datos de entrada'!$B$8*'Fichas técnicas Tecnologías'!$Q$3*'Fichas técnicas Tecnologías'!$R$3*'Datos de entrada'!$B$61*(1.03^('Datos de entrada'!$B$5-2021))</f>
        <v>0</v>
      </c>
      <c r="Z160" s="179">
        <f>+X160+Y160</f>
        <v>0</v>
      </c>
    </row>
    <row r="162" spans="1:14" x14ac:dyDescent="0.25">
      <c r="L162" s="149"/>
    </row>
    <row r="163" spans="1:14" x14ac:dyDescent="0.25">
      <c r="K163" s="148">
        <f>+K160/B130</f>
        <v>0</v>
      </c>
      <c r="L163" s="148">
        <f>+L156/B130</f>
        <v>0</v>
      </c>
      <c r="M163" s="149">
        <f>+L163/200000</f>
        <v>0</v>
      </c>
      <c r="N163" s="3">
        <f>+M163/3800</f>
        <v>0</v>
      </c>
    </row>
    <row r="167" spans="1:14" x14ac:dyDescent="0.25">
      <c r="A167" s="145" t="s">
        <v>176</v>
      </c>
      <c r="B167" s="145"/>
      <c r="C167" s="145"/>
    </row>
    <row r="168" spans="1:14" x14ac:dyDescent="0.25">
      <c r="A168" s="145">
        <v>1</v>
      </c>
      <c r="B168" s="145"/>
      <c r="C168" s="145" t="str">
        <f>IFERROR(VLOOKUP(A168,$B$156:$C$160,2,FALSE),"")</f>
        <v>Compostaje en pilas con volteo manual</v>
      </c>
    </row>
    <row r="169" spans="1:14" x14ac:dyDescent="0.25">
      <c r="A169" s="145">
        <v>2</v>
      </c>
      <c r="B169" s="145"/>
      <c r="C169" s="145" t="str">
        <f>IFERROR(VLOOKUP(A169,$B$156:$C$160,2,FALSE),"")</f>
        <v>Compostaje en pilas con aireación forzada</v>
      </c>
    </row>
    <row r="170" spans="1:14" x14ac:dyDescent="0.25">
      <c r="A170" s="145">
        <v>3</v>
      </c>
      <c r="B170" s="145"/>
      <c r="C170" s="145" t="str">
        <f>IFERROR(VLOOKUP(A170,$B$156:$C$160,2,FALSE),"")</f>
        <v>Tratamiento Mecánico Biológico</v>
      </c>
    </row>
    <row r="173" spans="1:14" x14ac:dyDescent="0.25">
      <c r="C173" s="166"/>
    </row>
    <row r="174" spans="1:14" x14ac:dyDescent="0.25">
      <c r="C174" s="166"/>
    </row>
    <row r="175" spans="1:14" x14ac:dyDescent="0.25">
      <c r="A175" s="50" t="str">
        <f>+$C$168</f>
        <v>Compostaje en pilas con volteo manual</v>
      </c>
    </row>
    <row r="176" spans="1:14" x14ac:dyDescent="0.25">
      <c r="A176" s="3" t="s">
        <v>177</v>
      </c>
      <c r="D176" s="3" t="s">
        <v>178</v>
      </c>
      <c r="G176" s="3" t="s">
        <v>179</v>
      </c>
    </row>
    <row r="178" spans="1:5" x14ac:dyDescent="0.25">
      <c r="A178" s="3" t="s">
        <v>180</v>
      </c>
      <c r="B178" s="3">
        <f>+MATCH($C$168,'Costos de inversión'!$A:$A,0)</f>
        <v>4</v>
      </c>
      <c r="D178" s="3" t="s">
        <v>180</v>
      </c>
      <c r="E178" s="3">
        <f>MATCH($C$168,'Costos de operación'!$A:$A,0)</f>
        <v>4</v>
      </c>
    </row>
    <row r="179" spans="1:5" x14ac:dyDescent="0.25">
      <c r="B179" s="3">
        <f>+B178+1</f>
        <v>5</v>
      </c>
      <c r="E179" s="3">
        <f>+E178+1</f>
        <v>5</v>
      </c>
    </row>
    <row r="180" spans="1:5" x14ac:dyDescent="0.25">
      <c r="B180" s="3">
        <f t="shared" ref="B180:B197" si="2">+B179+1</f>
        <v>6</v>
      </c>
      <c r="E180" s="3">
        <f t="shared" ref="E180:E187" si="3">+E179+1</f>
        <v>6</v>
      </c>
    </row>
    <row r="181" spans="1:5" x14ac:dyDescent="0.25">
      <c r="B181" s="3">
        <f t="shared" si="2"/>
        <v>7</v>
      </c>
      <c r="E181" s="3">
        <f t="shared" si="3"/>
        <v>7</v>
      </c>
    </row>
    <row r="182" spans="1:5" x14ac:dyDescent="0.25">
      <c r="B182" s="3">
        <f t="shared" si="2"/>
        <v>8</v>
      </c>
      <c r="E182" s="3">
        <f t="shared" si="3"/>
        <v>8</v>
      </c>
    </row>
    <row r="183" spans="1:5" x14ac:dyDescent="0.25">
      <c r="B183" s="3">
        <f t="shared" si="2"/>
        <v>9</v>
      </c>
      <c r="E183" s="3">
        <f t="shared" si="3"/>
        <v>9</v>
      </c>
    </row>
    <row r="184" spans="1:5" x14ac:dyDescent="0.25">
      <c r="B184" s="3">
        <f t="shared" si="2"/>
        <v>10</v>
      </c>
      <c r="E184" s="3">
        <f t="shared" si="3"/>
        <v>10</v>
      </c>
    </row>
    <row r="185" spans="1:5" x14ac:dyDescent="0.25">
      <c r="B185" s="3">
        <f t="shared" si="2"/>
        <v>11</v>
      </c>
      <c r="E185" s="3">
        <f t="shared" si="3"/>
        <v>11</v>
      </c>
    </row>
    <row r="186" spans="1:5" x14ac:dyDescent="0.25">
      <c r="B186" s="3">
        <f t="shared" si="2"/>
        <v>12</v>
      </c>
      <c r="E186" s="3">
        <f t="shared" si="3"/>
        <v>12</v>
      </c>
    </row>
    <row r="187" spans="1:5" x14ac:dyDescent="0.25">
      <c r="B187" s="3">
        <f t="shared" si="2"/>
        <v>13</v>
      </c>
      <c r="E187" s="3">
        <f t="shared" si="3"/>
        <v>13</v>
      </c>
    </row>
    <row r="188" spans="1:5" x14ac:dyDescent="0.25">
      <c r="B188" s="3">
        <f t="shared" si="2"/>
        <v>14</v>
      </c>
    </row>
    <row r="189" spans="1:5" x14ac:dyDescent="0.25">
      <c r="B189" s="3">
        <f t="shared" si="2"/>
        <v>15</v>
      </c>
    </row>
    <row r="190" spans="1:5" x14ac:dyDescent="0.25">
      <c r="B190" s="3">
        <f t="shared" si="2"/>
        <v>16</v>
      </c>
    </row>
    <row r="191" spans="1:5" x14ac:dyDescent="0.25">
      <c r="B191" s="3">
        <f t="shared" si="2"/>
        <v>17</v>
      </c>
    </row>
    <row r="192" spans="1:5" x14ac:dyDescent="0.25">
      <c r="B192" s="3">
        <f t="shared" si="2"/>
        <v>18</v>
      </c>
    </row>
    <row r="193" spans="1:25" x14ac:dyDescent="0.25">
      <c r="B193" s="3">
        <f t="shared" si="2"/>
        <v>19</v>
      </c>
    </row>
    <row r="194" spans="1:25" x14ac:dyDescent="0.25">
      <c r="B194" s="3">
        <f t="shared" si="2"/>
        <v>20</v>
      </c>
    </row>
    <row r="195" spans="1:25" x14ac:dyDescent="0.25">
      <c r="B195" s="3">
        <f t="shared" si="2"/>
        <v>21</v>
      </c>
    </row>
    <row r="196" spans="1:25" x14ac:dyDescent="0.25">
      <c r="B196" s="3">
        <f t="shared" si="2"/>
        <v>22</v>
      </c>
    </row>
    <row r="197" spans="1:25" x14ac:dyDescent="0.25">
      <c r="B197" s="3">
        <f t="shared" si="2"/>
        <v>23</v>
      </c>
    </row>
    <row r="198" spans="1:25" x14ac:dyDescent="0.25">
      <c r="H198" s="148"/>
      <c r="I198" s="149"/>
      <c r="J198" s="149"/>
    </row>
    <row r="200" spans="1:25" x14ac:dyDescent="0.25">
      <c r="G200" s="3" t="s">
        <v>181</v>
      </c>
      <c r="H200" s="89" t="e">
        <f>VLOOKUP($A$175,$C$156:$M$160,9,FALSE)/'Datos de entrada'!$B$8</f>
        <v>#DIV/0!</v>
      </c>
      <c r="X200" s="3" t="s">
        <v>181</v>
      </c>
      <c r="Y200" s="89">
        <f>+X156/B130</f>
        <v>0</v>
      </c>
    </row>
    <row r="201" spans="1:25" x14ac:dyDescent="0.25">
      <c r="A201" s="3" t="str">
        <f>IF(B178&gt;0,VLOOKUP(B178,'Costos de inversión'!$B$1:$N$382,2,FALSE),"")</f>
        <v>Pre-inversión</v>
      </c>
      <c r="B201" s="89">
        <f>IF(B178&gt;0,VLOOKUP(B178,'Costos de inversión'!$B$1:$N$382,13,FALSE),"")</f>
        <v>0</v>
      </c>
      <c r="D201" s="3" t="str">
        <f>IF(E178&gt;0,VLOOKUP(E178,'Costos de operación'!$B:$N,2,FALSE),"")</f>
        <v>Energia</v>
      </c>
      <c r="E201" s="89">
        <f>IF(E178&gt;0,VLOOKUP(E178,'Costos de operación'!$B:$N,13,FALSE),"")</f>
        <v>273000000</v>
      </c>
      <c r="G201" s="3" t="s">
        <v>182</v>
      </c>
      <c r="H201" s="90" t="e">
        <f>VLOOKUP($A$175,$C$156:$M$160,10,FALSE)/'Datos de entrada'!$B$8</f>
        <v>#DIV/0!</v>
      </c>
      <c r="X201" s="3" t="s">
        <v>182</v>
      </c>
      <c r="Y201" s="90">
        <f>+Y156/B130</f>
        <v>0</v>
      </c>
    </row>
    <row r="202" spans="1:25" x14ac:dyDescent="0.25">
      <c r="A202" s="3" t="str">
        <f>IF(B179&gt;0,VLOOKUP(B179,'Costos de inversión'!$B$1:$N$382,2,FALSE),"")</f>
        <v xml:space="preserve">   Estudios, Diseños </v>
      </c>
      <c r="B202" s="89">
        <f>IF(B179&gt;0,VLOOKUP(B179,'Costos de inversión'!$B$1:$N$382,13,FALSE),"")</f>
        <v>374000000</v>
      </c>
      <c r="D202" s="3" t="str">
        <f>IF(E179&gt;0,VLOOKUP(E179,'Costos de operación'!$B:$N,2,FALSE),"")</f>
        <v>Combustible</v>
      </c>
      <c r="E202" s="89">
        <f>IF(E179&gt;0,VLOOKUP(E179,'Costos de operación'!$B:$N,13,FALSE),"")</f>
        <v>1054000000</v>
      </c>
      <c r="G202" s="3" t="s">
        <v>183</v>
      </c>
      <c r="H202" s="90" t="e">
        <f>+H201+H200</f>
        <v>#DIV/0!</v>
      </c>
      <c r="X202" s="3" t="s">
        <v>183</v>
      </c>
      <c r="Y202" s="90">
        <f>+Y201+Y200</f>
        <v>0</v>
      </c>
    </row>
    <row r="203" spans="1:25" x14ac:dyDescent="0.25">
      <c r="A203" s="3" t="str">
        <f>IF(B180&gt;0,VLOOKUP(B180,'Costos de inversión'!$B$1:$N$382,2,FALSE),"")</f>
        <v xml:space="preserve">   Permisos</v>
      </c>
      <c r="B203" s="89">
        <f>IF(B180&gt;0,VLOOKUP(B180,'Costos de inversión'!$B$1:$N$382,13,FALSE),"")</f>
        <v>86000000</v>
      </c>
      <c r="D203" s="3" t="str">
        <f>IF(E180&gt;0,VLOOKUP(E180,'Costos de operación'!$B:$N,2,FALSE),"")</f>
        <v xml:space="preserve">Agua </v>
      </c>
      <c r="E203" s="89">
        <f>IF(E180&gt;0,VLOOKUP(E180,'Costos de operación'!$B:$N,13,FALSE),"")</f>
        <v>33000000</v>
      </c>
    </row>
    <row r="204" spans="1:25" x14ac:dyDescent="0.25">
      <c r="A204" s="3" t="str">
        <f>IF(B181&gt;0,VLOOKUP(B181,'Costos de inversión'!$B$1:$N$382,2,FALSE),"")</f>
        <v>Infraestructura</v>
      </c>
      <c r="B204" s="89">
        <f>IF(B181&gt;0,VLOOKUP(B181,'Costos de inversión'!$B$1:$N$382,13,FALSE),"")</f>
        <v>17422000000</v>
      </c>
      <c r="D204" s="3" t="str">
        <f>IF(E181&gt;0,VLOOKUP(E181,'Costos de operación'!$B:$N,2,FALSE),"")</f>
        <v>Tratamiento RSO</v>
      </c>
      <c r="E204" s="89">
        <f>IF(E181&gt;0,VLOOKUP(E181,'Costos de operación'!$B:$N,13,FALSE),"")</f>
        <v>3528000000</v>
      </c>
    </row>
    <row r="205" spans="1:25" x14ac:dyDescent="0.25">
      <c r="A205" s="3" t="str">
        <f>IF(B182&gt;0,VLOOKUP(B182,'Costos de inversión'!$B$1:$N$382,2,FALSE),"")</f>
        <v>Maquinaria y Equipos (incluido el costo de instalación)</v>
      </c>
      <c r="B205" s="89">
        <f>IF(B182&gt;0,VLOOKUP(B182,'Costos de inversión'!$B$1:$N$382,13,FALSE),"")</f>
        <v>0</v>
      </c>
      <c r="D205" s="3" t="str">
        <f>IF(E182&gt;0,VLOOKUP(E182,'Costos de operación'!$B:$N,2,FALSE),"")</f>
        <v xml:space="preserve">Monitoreo Ambiental </v>
      </c>
      <c r="E205" s="89">
        <f>IF(E182&gt;0,VLOOKUP(E182,'Costos de operación'!$B:$N,13,FALSE),"")</f>
        <v>19000000</v>
      </c>
    </row>
    <row r="206" spans="1:25" x14ac:dyDescent="0.25">
      <c r="A206" s="3" t="str">
        <f>IF(B183&gt;0,VLOOKUP(B183,'Costos de inversión'!$B$1:$N$382,2,FALSE),"")</f>
        <v xml:space="preserve">   Trommel</v>
      </c>
      <c r="B206" s="89">
        <f>IF(B183&gt;0,VLOOKUP(B183,'Costos de inversión'!$B$1:$N$382,13,FALSE),"")</f>
        <v>576000000</v>
      </c>
      <c r="D206" s="3" t="str">
        <f>IF(E183&gt;0,VLOOKUP(E183,'Costos de operación'!$B:$N,2,FALSE),"")</f>
        <v xml:space="preserve">Mantenimiento - Maquinaria y equipos </v>
      </c>
      <c r="E206" s="89">
        <f>IF(E183&gt;0,VLOOKUP(E183,'Costos de operación'!$B:$N,13,FALSE),"")</f>
        <v>133000000</v>
      </c>
    </row>
    <row r="207" spans="1:25" x14ac:dyDescent="0.25">
      <c r="A207" s="3" t="str">
        <f>IF(B184&gt;0,VLOOKUP(B184,'Costos de inversión'!$B$1:$N$382,2,FALSE),"")</f>
        <v xml:space="preserve">   Minicargador</v>
      </c>
      <c r="B207" s="89">
        <f>IF(B184&gt;0,VLOOKUP(B184,'Costos de inversión'!$B$1:$N$382,13,FALSE),"")</f>
        <v>488689705</v>
      </c>
      <c r="D207" s="3" t="str">
        <f>IF(E184&gt;0,VLOOKUP(E184,'Costos de operación'!$B:$N,2,FALSE),"")</f>
        <v xml:space="preserve">Mantenimiento - Infraestructura </v>
      </c>
      <c r="E207" s="89">
        <f>IF(E184&gt;0,VLOOKUP(E184,'Costos de operación'!$B:$N,13,FALSE),"")</f>
        <v>157000000</v>
      </c>
    </row>
    <row r="208" spans="1:25" x14ac:dyDescent="0.25">
      <c r="A208" s="3" t="str">
        <f>IF(B185&gt;0,VLOOKUP(B185,'Costos de inversión'!$B$1:$N$382,2,FALSE),"")</f>
        <v xml:space="preserve">   Tractor</v>
      </c>
      <c r="B208" s="89">
        <f>IF(B185&gt;0,VLOOKUP(B185,'Costos de inversión'!$B$1:$N$382,13,FALSE),"")</f>
        <v>488689705</v>
      </c>
      <c r="D208" s="3" t="str">
        <f>IF(E185&gt;0,VLOOKUP(E185,'Costos de operación'!$B:$N,2,FALSE),"")</f>
        <v>Mano de Obra</v>
      </c>
      <c r="E208" s="89">
        <f>IF(E185&gt;0,VLOOKUP(E185,'Costos de operación'!$B:$N,13,FALSE),"")</f>
        <v>247000000</v>
      </c>
    </row>
    <row r="209" spans="1:7" x14ac:dyDescent="0.25">
      <c r="A209" s="3" t="str">
        <f>IF(B186&gt;0,VLOOKUP(B186,'Costos de inversión'!$B$1:$N$382,2,FALSE),"")</f>
        <v xml:space="preserve">   Retroexcavadora</v>
      </c>
      <c r="B209" s="89">
        <f>IF(B186&gt;0,VLOOKUP(B186,'Costos de inversión'!$B$1:$N$382,13,FALSE),"")</f>
        <v>425970171</v>
      </c>
      <c r="D209" s="3" t="str">
        <f>IF(E186&gt;0,VLOOKUP(E186,'Costos de operación'!$B:$N,2,FALSE),"")</f>
        <v>Valor de Operación Anual</v>
      </c>
      <c r="E209" s="89">
        <f>IF(E186&gt;0,VLOOKUP(E186,'Costos de operación'!$B:$N,13,FALSE),"")</f>
        <v>5444000000</v>
      </c>
    </row>
    <row r="210" spans="1:7" x14ac:dyDescent="0.25">
      <c r="A210" s="3" t="str">
        <f>IF(B187&gt;0,VLOOKUP(B187,'Costos de inversión'!$B$1:$N$382,2,FALSE),"")</f>
        <v xml:space="preserve">   Montacargas</v>
      </c>
      <c r="B210" s="89">
        <f>IF(B187&gt;0,VLOOKUP(B187,'Costos de inversión'!$B$1:$N$382,13,FALSE),"")</f>
        <v>303144416</v>
      </c>
      <c r="D210" s="3">
        <f>IF(E187&gt;0,VLOOKUP(E187,'Costos de operación'!$B:$N,2,FALSE),"")</f>
        <v>0</v>
      </c>
      <c r="E210" s="89">
        <f>IF(E187&gt;0,VLOOKUP(E187,'Costos de operación'!$B:$N,13,FALSE),"")</f>
        <v>0</v>
      </c>
    </row>
    <row r="211" spans="1:7" x14ac:dyDescent="0.25">
      <c r="A211" s="3" t="str">
        <f>IF(B188&gt;0,VLOOKUP(B188,'Costos de inversión'!$B$1:$N$382,2,FALSE),"")</f>
        <v xml:space="preserve">   Planta electrica</v>
      </c>
      <c r="B211" s="89">
        <f>IF(B188&gt;0,VLOOKUP(B188,'Costos de inversión'!$B$1:$N$382,13,FALSE),"")</f>
        <v>287464532</v>
      </c>
      <c r="D211" s="3" t="str">
        <f>IF(E188&gt;0,VLOOKUP(E188,'Costos de operación'!$B:$N,2,FALSE),"")</f>
        <v/>
      </c>
      <c r="E211" s="89" t="str">
        <f>IF(E188&gt;0,VLOOKUP(E188,'Costos de operación'!$B:$N,13,FALSE),"")</f>
        <v/>
      </c>
    </row>
    <row r="212" spans="1:7" x14ac:dyDescent="0.25">
      <c r="A212" s="3" t="str">
        <f>IF(B189&gt;0,VLOOKUP(B189,'Costos de inversión'!$B$1:$N$382,2,FALSE),"")</f>
        <v xml:space="preserve">   Compresor</v>
      </c>
      <c r="B212" s="89">
        <f>IF(B189&gt;0,VLOOKUP(B189,'Costos de inversión'!$B$1:$N$382,13,FALSE),"")</f>
        <v>70559476</v>
      </c>
      <c r="D212" s="3" t="str">
        <f>IF(E189&gt;0,VLOOKUP(E189,'Costos de operación'!$B:$N,2,FALSE),"")</f>
        <v/>
      </c>
      <c r="E212" s="89" t="str">
        <f>IF(E189&gt;0,VLOOKUP(E189,'Costos de operación'!$B:$N,13,FALSE),"")</f>
        <v/>
      </c>
    </row>
    <row r="213" spans="1:7" x14ac:dyDescent="0.25">
      <c r="A213" s="3" t="str">
        <f>IF(B190&gt;0,VLOOKUP(B190,'Costos de inversión'!$B$1:$N$382,2,FALSE),"")</f>
        <v xml:space="preserve">   Volqueta</v>
      </c>
      <c r="B213" s="89">
        <f>IF(B190&gt;0,VLOOKUP(B190,'Costos de inversión'!$B$1:$N$382,13,FALSE),"")</f>
        <v>862393598</v>
      </c>
      <c r="E213" s="89" t="str">
        <f>IF(E190&gt;0,VLOOKUP(E190,'Costos de operación'!$B:$N,13,FALSE),"")</f>
        <v/>
      </c>
    </row>
    <row r="214" spans="1:7" x14ac:dyDescent="0.25">
      <c r="A214" s="3" t="str">
        <f>IF(B191&gt;0,VLOOKUP(B191,'Costos de inversión'!$B$1:$N$382,2,FALSE),"")</f>
        <v>Total Costo de Inversión Inicial</v>
      </c>
      <c r="B214" s="89">
        <f>IF(B191&gt;0,VLOOKUP(B191,'Costos de inversión'!$B$1:$N$382,13,FALSE),"")</f>
        <v>21384911603</v>
      </c>
      <c r="D214" s="3" t="str">
        <f>IF(E191&gt;0,VLOOKUP(E191,'Costos de operación'!$B:$N,2,FALSE),"")</f>
        <v/>
      </c>
      <c r="E214" s="89" t="str">
        <f>IF(E191&gt;0,VLOOKUP(E191,'Costos de operación'!$B:$N,13,FALSE),"")</f>
        <v/>
      </c>
    </row>
    <row r="215" spans="1:7" x14ac:dyDescent="0.25">
      <c r="A215" s="3">
        <f>IF(B192&gt;0,VLOOKUP(B192,'Costos de inversión'!$B$1:$N$382,2,FALSE),"")</f>
        <v>0</v>
      </c>
      <c r="B215" s="89">
        <f>IF(B192&gt;0,VLOOKUP(B192,'Costos de inversión'!$B$1:$N$382,13,FALSE),"")</f>
        <v>0</v>
      </c>
    </row>
    <row r="216" spans="1:7" x14ac:dyDescent="0.25">
      <c r="A216" s="3">
        <f>IF(B193&gt;0,VLOOKUP(B193,'Costos de inversión'!$B$1:$N$382,2,FALSE),"")</f>
        <v>0</v>
      </c>
      <c r="B216" s="89">
        <f>IF(B193&gt;0,VLOOKUP(B193,'Costos de inversión'!$B$1:$N$382,13,FALSE),"")</f>
        <v>0</v>
      </c>
    </row>
    <row r="217" spans="1:7" x14ac:dyDescent="0.25">
      <c r="B217" s="89"/>
    </row>
    <row r="218" spans="1:7" x14ac:dyDescent="0.25">
      <c r="B218" s="89"/>
    </row>
    <row r="222" spans="1:7" x14ac:dyDescent="0.25">
      <c r="A222" s="50" t="str">
        <f>+$C$169</f>
        <v>Compostaje en pilas con aireación forzada</v>
      </c>
    </row>
    <row r="223" spans="1:7" x14ac:dyDescent="0.25">
      <c r="A223" s="3" t="s">
        <v>177</v>
      </c>
      <c r="D223" s="3" t="s">
        <v>178</v>
      </c>
      <c r="G223" s="3" t="s">
        <v>179</v>
      </c>
    </row>
    <row r="225" spans="1:5" x14ac:dyDescent="0.25">
      <c r="A225" s="3" t="s">
        <v>180</v>
      </c>
      <c r="B225" s="3">
        <f>+MATCH($C$169,'Costos de inversión'!$A:$A,0)</f>
        <v>24</v>
      </c>
      <c r="D225" s="3" t="s">
        <v>180</v>
      </c>
      <c r="E225" s="3">
        <f>MATCH($C$169,'Costos de operación'!$A:$A,0)</f>
        <v>19</v>
      </c>
    </row>
    <row r="226" spans="1:5" x14ac:dyDescent="0.25">
      <c r="B226" s="3">
        <f>+B225+1</f>
        <v>25</v>
      </c>
      <c r="E226" s="3">
        <f>+E225+1</f>
        <v>20</v>
      </c>
    </row>
    <row r="227" spans="1:5" x14ac:dyDescent="0.25">
      <c r="B227" s="3">
        <f t="shared" ref="B227:B244" si="4">+B226+1</f>
        <v>26</v>
      </c>
      <c r="E227" s="3">
        <f t="shared" ref="E227:E234" si="5">+E226+1</f>
        <v>21</v>
      </c>
    </row>
    <row r="228" spans="1:5" x14ac:dyDescent="0.25">
      <c r="B228" s="3">
        <f t="shared" si="4"/>
        <v>27</v>
      </c>
      <c r="E228" s="3">
        <f t="shared" si="5"/>
        <v>22</v>
      </c>
    </row>
    <row r="229" spans="1:5" x14ac:dyDescent="0.25">
      <c r="B229" s="3">
        <f t="shared" si="4"/>
        <v>28</v>
      </c>
      <c r="E229" s="3">
        <f t="shared" si="5"/>
        <v>23</v>
      </c>
    </row>
    <row r="230" spans="1:5" x14ac:dyDescent="0.25">
      <c r="B230" s="3">
        <f t="shared" si="4"/>
        <v>29</v>
      </c>
      <c r="E230" s="3">
        <f t="shared" si="5"/>
        <v>24</v>
      </c>
    </row>
    <row r="231" spans="1:5" x14ac:dyDescent="0.25">
      <c r="B231" s="3">
        <f t="shared" si="4"/>
        <v>30</v>
      </c>
      <c r="E231" s="3">
        <f t="shared" si="5"/>
        <v>25</v>
      </c>
    </row>
    <row r="232" spans="1:5" x14ac:dyDescent="0.25">
      <c r="B232" s="3">
        <f t="shared" si="4"/>
        <v>31</v>
      </c>
      <c r="E232" s="3">
        <f t="shared" si="5"/>
        <v>26</v>
      </c>
    </row>
    <row r="233" spans="1:5" x14ac:dyDescent="0.25">
      <c r="B233" s="3">
        <f t="shared" si="4"/>
        <v>32</v>
      </c>
      <c r="E233" s="3">
        <f t="shared" si="5"/>
        <v>27</v>
      </c>
    </row>
    <row r="234" spans="1:5" x14ac:dyDescent="0.25">
      <c r="B234" s="3">
        <f t="shared" si="4"/>
        <v>33</v>
      </c>
      <c r="E234" s="3">
        <f t="shared" si="5"/>
        <v>28</v>
      </c>
    </row>
    <row r="235" spans="1:5" x14ac:dyDescent="0.25">
      <c r="B235" s="3">
        <f t="shared" si="4"/>
        <v>34</v>
      </c>
    </row>
    <row r="236" spans="1:5" x14ac:dyDescent="0.25">
      <c r="B236" s="3">
        <f t="shared" si="4"/>
        <v>35</v>
      </c>
    </row>
    <row r="237" spans="1:5" x14ac:dyDescent="0.25">
      <c r="B237" s="3">
        <f t="shared" si="4"/>
        <v>36</v>
      </c>
    </row>
    <row r="238" spans="1:5" x14ac:dyDescent="0.25">
      <c r="B238" s="3">
        <f t="shared" si="4"/>
        <v>37</v>
      </c>
    </row>
    <row r="239" spans="1:5" x14ac:dyDescent="0.25">
      <c r="B239" s="3">
        <f t="shared" si="4"/>
        <v>38</v>
      </c>
    </row>
    <row r="240" spans="1:5" x14ac:dyDescent="0.25">
      <c r="B240" s="3">
        <f t="shared" si="4"/>
        <v>39</v>
      </c>
    </row>
    <row r="241" spans="1:8" x14ac:dyDescent="0.25">
      <c r="B241" s="3">
        <f t="shared" si="4"/>
        <v>40</v>
      </c>
    </row>
    <row r="242" spans="1:8" x14ac:dyDescent="0.25">
      <c r="B242" s="3">
        <f t="shared" si="4"/>
        <v>41</v>
      </c>
    </row>
    <row r="243" spans="1:8" x14ac:dyDescent="0.25">
      <c r="B243" s="3">
        <f t="shared" si="4"/>
        <v>42</v>
      </c>
    </row>
    <row r="244" spans="1:8" x14ac:dyDescent="0.25">
      <c r="B244" s="3">
        <f t="shared" si="4"/>
        <v>43</v>
      </c>
    </row>
    <row r="247" spans="1:8" x14ac:dyDescent="0.25">
      <c r="G247" s="3" t="str">
        <f>+G200</f>
        <v>Ingresos por tarifa (COP) (Promedio Anual)</v>
      </c>
      <c r="H247" s="89" t="e">
        <f>VLOOKUP($A$222,$C$156:$M$160,9,FALSE)/'Datos de entrada'!B8</f>
        <v>#DIV/0!</v>
      </c>
    </row>
    <row r="248" spans="1:8" x14ac:dyDescent="0.25">
      <c r="A248" s="3" t="str">
        <f>IF(B225&gt;0,VLOOKUP(B225,'Costos de inversión'!$B$1:$N$382,2,FALSE),"")</f>
        <v>Pre-inversión</v>
      </c>
      <c r="B248" s="89">
        <f>IF(B225&gt;0,VLOOKUP(B225,'Costos de inversión'!$B$1:$N$382,13,FALSE),"")</f>
        <v>0</v>
      </c>
      <c r="D248" s="3" t="str">
        <f>IF(E225&gt;0,VLOOKUP(E225,'Costos de operación'!$B:$N,2,FALSE),"")</f>
        <v>Energia</v>
      </c>
      <c r="E248" s="89">
        <f>IF(E225&gt;0,VLOOKUP(E225,'Costos de operación'!$B:$N,13,FALSE),"")</f>
        <v>292000000</v>
      </c>
      <c r="G248" s="3" t="str">
        <f>+G201</f>
        <v>Ingresos por comercialización (COP) (Promedio Anual)</v>
      </c>
      <c r="H248" s="90" t="e">
        <f>VLOOKUP($A$222,$C$156:$M$160,10,FALSE)/'Datos de entrada'!B8</f>
        <v>#DIV/0!</v>
      </c>
    </row>
    <row r="249" spans="1:8" x14ac:dyDescent="0.25">
      <c r="A249" s="3" t="str">
        <f>IF(B226&gt;0,VLOOKUP(B226,'Costos de inversión'!$B$1:$N$382,2,FALSE),"")</f>
        <v xml:space="preserve">   Estudios, Diseños </v>
      </c>
      <c r="B249" s="89">
        <f>IF(B226&gt;0,VLOOKUP(B226,'Costos de inversión'!$B$1:$N$382,13,FALSE),"")</f>
        <v>1039000000</v>
      </c>
      <c r="D249" s="3" t="str">
        <f>IF(E226&gt;0,VLOOKUP(E226,'Costos de operación'!$B:$N,2,FALSE),"")</f>
        <v>Combustible</v>
      </c>
      <c r="E249" s="89">
        <f>IF(E226&gt;0,VLOOKUP(E226,'Costos de operación'!$B:$N,13,FALSE),"")</f>
        <v>1127000000</v>
      </c>
      <c r="G249" s="3" t="s">
        <v>183</v>
      </c>
      <c r="H249" s="90" t="e">
        <f>+H248+H247</f>
        <v>#DIV/0!</v>
      </c>
    </row>
    <row r="250" spans="1:8" x14ac:dyDescent="0.25">
      <c r="A250" s="3" t="str">
        <f>IF(B227&gt;0,VLOOKUP(B227,'Costos de inversión'!$B$1:$N$382,2,FALSE),"")</f>
        <v xml:space="preserve">   Permisos</v>
      </c>
      <c r="B250" s="89">
        <f>IF(B227&gt;0,VLOOKUP(B227,'Costos de inversión'!$B$1:$N$382,13,FALSE),"")</f>
        <v>86000000</v>
      </c>
      <c r="D250" s="3" t="str">
        <f>IF(E227&gt;0,VLOOKUP(E227,'Costos de operación'!$B:$N,2,FALSE),"")</f>
        <v xml:space="preserve">Agua </v>
      </c>
      <c r="E250" s="89">
        <f>IF(E227&gt;0,VLOOKUP(E227,'Costos de operación'!$B:$N,13,FALSE),"")</f>
        <v>35000000</v>
      </c>
    </row>
    <row r="251" spans="1:8" x14ac:dyDescent="0.25">
      <c r="A251" s="3" t="str">
        <f>IF(B228&gt;0,VLOOKUP(B228,'Costos de inversión'!$B$1:$N$382,2,FALSE),"")</f>
        <v>Infraestructura</v>
      </c>
      <c r="B251" s="89">
        <f>IF(B228&gt;0,VLOOKUP(B228,'Costos de inversión'!$B$1:$N$382,13,FALSE),"")</f>
        <v>18642000000</v>
      </c>
      <c r="D251" s="3" t="str">
        <f>IF(E228&gt;0,VLOOKUP(E228,'Costos de operación'!$B:$N,2,FALSE),"")</f>
        <v>Tratamiento RSO</v>
      </c>
      <c r="E251" s="89">
        <f>IF(E228&gt;0,VLOOKUP(E228,'Costos de operación'!$B:$N,13,FALSE),"")</f>
        <v>3775000000</v>
      </c>
    </row>
    <row r="252" spans="1:8" x14ac:dyDescent="0.25">
      <c r="A252" s="3" t="str">
        <f>IF(B229&gt;0,VLOOKUP(B229,'Costos de inversión'!$B$1:$N$382,2,FALSE),"")</f>
        <v>Maquinaria y Equipos (incluido el costo de instalación)</v>
      </c>
      <c r="B252" s="89">
        <f>IF(B229&gt;0,VLOOKUP(B229,'Costos de inversión'!$B$1:$N$382,13,FALSE),"")</f>
        <v>0</v>
      </c>
      <c r="D252" s="3" t="str">
        <f>IF(E229&gt;0,VLOOKUP(E229,'Costos de operación'!$B:$N,2,FALSE),"")</f>
        <v xml:space="preserve">Monitoreo Ambiental </v>
      </c>
      <c r="E252" s="89">
        <f>IF(E229&gt;0,VLOOKUP(E229,'Costos de operación'!$B:$N,13,FALSE),"")</f>
        <v>19000000</v>
      </c>
    </row>
    <row r="253" spans="1:8" x14ac:dyDescent="0.25">
      <c r="A253" s="3" t="str">
        <f>IF(B230&gt;0,VLOOKUP(B230,'Costos de inversión'!$B$1:$N$382,2,FALSE),"")</f>
        <v xml:space="preserve">   Trommel</v>
      </c>
      <c r="B253" s="89">
        <f>IF(B230&gt;0,VLOOKUP(B230,'Costos de inversión'!$B$1:$N$382,13,FALSE),"")</f>
        <v>616000000</v>
      </c>
      <c r="D253" s="3" t="str">
        <f>IF(E230&gt;0,VLOOKUP(E230,'Costos de operación'!$B:$N,2,FALSE),"")</f>
        <v xml:space="preserve">Mantenimiento - Maquinaria y equipos </v>
      </c>
      <c r="E253" s="89">
        <f>IF(E230&gt;0,VLOOKUP(E230,'Costos de operación'!$B:$N,13,FALSE),"")</f>
        <v>143000000</v>
      </c>
    </row>
    <row r="254" spans="1:8" x14ac:dyDescent="0.25">
      <c r="A254" s="3" t="str">
        <f>IF(B231&gt;0,VLOOKUP(B231,'Costos de inversión'!$B$1:$N$382,2,FALSE),"")</f>
        <v xml:space="preserve">   Minicargador</v>
      </c>
      <c r="B254" s="89">
        <f>IF(B231&gt;0,VLOOKUP(B231,'Costos de inversión'!$B$1:$N$382,13,FALSE),"")</f>
        <v>522897985</v>
      </c>
      <c r="D254" s="3" t="str">
        <f>IF(E231&gt;0,VLOOKUP(E231,'Costos de operación'!$B:$N,2,FALSE),"")</f>
        <v xml:space="preserve">Mantenimiento - Infraestructura </v>
      </c>
      <c r="E254" s="89">
        <f>IF(E231&gt;0,VLOOKUP(E231,'Costos de operación'!$B:$N,13,FALSE),"")</f>
        <v>235000000</v>
      </c>
    </row>
    <row r="255" spans="1:8" x14ac:dyDescent="0.25">
      <c r="A255" s="3" t="str">
        <f>IF(B232&gt;0,VLOOKUP(B232,'Costos de inversión'!$B$1:$N$382,2,FALSE),"")</f>
        <v xml:space="preserve">   Tractor</v>
      </c>
      <c r="B255" s="89">
        <f>IF(B232&gt;0,VLOOKUP(B232,'Costos de inversión'!$B$1:$N$382,13,FALSE),"")</f>
        <v>522897985</v>
      </c>
      <c r="D255" s="3" t="str">
        <f>IF(E232&gt;0,VLOOKUP(E232,'Costos de operación'!$B:$N,2,FALSE),"")</f>
        <v>Mano de Obra</v>
      </c>
      <c r="E255" s="89">
        <f>IF(E232&gt;0,VLOOKUP(E232,'Costos de operación'!$B:$N,13,FALSE),"")</f>
        <v>247000000</v>
      </c>
    </row>
    <row r="256" spans="1:8" x14ac:dyDescent="0.25">
      <c r="A256" s="3" t="str">
        <f>IF(B233&gt;0,VLOOKUP(B233,'Costos de inversión'!$B$1:$N$382,2,FALSE),"")</f>
        <v xml:space="preserve">   Retroexcavadora</v>
      </c>
      <c r="B256" s="89">
        <f>IF(B233&gt;0,VLOOKUP(B233,'Costos de inversión'!$B$1:$N$382,13,FALSE),"")</f>
        <v>455788083</v>
      </c>
      <c r="D256" s="3" t="str">
        <f>IF(E233&gt;0,VLOOKUP(E233,'Costos de operación'!$B:$N,2,FALSE),"")</f>
        <v>Valor de Operación Anual</v>
      </c>
      <c r="E256" s="89">
        <f>IF(E233&gt;0,VLOOKUP(E233,'Costos de operación'!$B:$N,13,FALSE),"")</f>
        <v>5873000000</v>
      </c>
    </row>
    <row r="257" spans="1:7" x14ac:dyDescent="0.25">
      <c r="A257" s="3" t="str">
        <f>IF(B234&gt;0,VLOOKUP(B234,'Costos de inversión'!$B$1:$N$382,2,FALSE),"")</f>
        <v xml:space="preserve">   Montacargas</v>
      </c>
      <c r="B257" s="89">
        <f>IF(B234&gt;0,VLOOKUP(B234,'Costos de inversión'!$B$1:$N$382,13,FALSE),"")</f>
        <v>162182263</v>
      </c>
      <c r="D257" s="3">
        <f>IF(E234&gt;0,VLOOKUP(E234,'Costos de operación'!$B:$N,2,FALSE),"")</f>
        <v>0</v>
      </c>
      <c r="E257" s="89">
        <f>IF(E234&gt;0,VLOOKUP(E234,'Costos de operación'!$B:$N,13,FALSE),"")</f>
        <v>0</v>
      </c>
    </row>
    <row r="258" spans="1:7" x14ac:dyDescent="0.25">
      <c r="A258" s="3" t="str">
        <f>IF(B235&gt;0,VLOOKUP(B235,'Costos de inversión'!$B$1:$N$382,2,FALSE),"")</f>
        <v xml:space="preserve">   Planta electrica</v>
      </c>
      <c r="B258" s="89">
        <f>IF(B235&gt;0,VLOOKUP(B235,'Costos de inversión'!$B$1:$N$382,13,FALSE),"")</f>
        <v>615174100</v>
      </c>
      <c r="D258" s="3" t="str">
        <f>IF(E235&gt;0,VLOOKUP(E235,'Costos de operación'!$B:$N,2,FALSE),"")</f>
        <v/>
      </c>
      <c r="E258" s="89" t="str">
        <f>IF(E235&gt;0,VLOOKUP(E235,'Costos de operación'!$B:$N,13,FALSE),"")</f>
        <v/>
      </c>
    </row>
    <row r="259" spans="1:7" x14ac:dyDescent="0.25">
      <c r="A259" s="3" t="str">
        <f>IF(B236&gt;0,VLOOKUP(B236,'Costos de inversión'!$B$1:$N$382,2,FALSE),"")</f>
        <v xml:space="preserve">   Compresor</v>
      </c>
      <c r="B259" s="89">
        <f>IF(B236&gt;0,VLOOKUP(B236,'Costos de inversión'!$B$1:$N$382,13,FALSE),"")</f>
        <v>150997280</v>
      </c>
      <c r="D259" s="3" t="str">
        <f>IF(E236&gt;0,VLOOKUP(E236,'Costos de operación'!$B:$N,2,FALSE),"")</f>
        <v/>
      </c>
      <c r="E259" s="89" t="str">
        <f>IF(E236&gt;0,VLOOKUP(E236,'Costos de operación'!$B:$N,13,FALSE),"")</f>
        <v/>
      </c>
    </row>
    <row r="260" spans="1:7" x14ac:dyDescent="0.25">
      <c r="A260" s="3" t="str">
        <f>IF(B237&gt;0,VLOOKUP(B237,'Costos de inversión'!$B$1:$N$382,2,FALSE),"")</f>
        <v xml:space="preserve">   Volqueta</v>
      </c>
      <c r="B260" s="89">
        <f>IF(B237&gt;0,VLOOKUP(B237,'Costos de inversión'!$B$1:$N$382,13,FALSE),"")</f>
        <v>922761150</v>
      </c>
      <c r="D260" s="3" t="str">
        <f>IF(E237&gt;0,VLOOKUP(E237,'Costos de operación'!$B:$N,2,FALSE),"")</f>
        <v/>
      </c>
      <c r="E260" s="89" t="str">
        <f>IF(E237&gt;0,VLOOKUP(E237,'Costos de operación'!$B:$N,13,FALSE),"")</f>
        <v/>
      </c>
    </row>
    <row r="261" spans="1:7" x14ac:dyDescent="0.25">
      <c r="A261" s="3" t="str">
        <f>IF(B238&gt;0,VLOOKUP(B238,'Costos de inversión'!$B$1:$N$382,2,FALSE),"")</f>
        <v xml:space="preserve">   Báscula de pesaje</v>
      </c>
      <c r="B261" s="89">
        <f>IF(B238&gt;0,VLOOKUP(B238,'Costos de inversión'!$B$1:$N$382,13,FALSE),"")</f>
        <v>206314606</v>
      </c>
      <c r="D261" s="3" t="str">
        <f>IF(E238&gt;0,VLOOKUP(E238,'Costos de operación'!$B:$N,2,FALSE),"")</f>
        <v/>
      </c>
      <c r="E261" s="89" t="str">
        <f>IF(E238&gt;0,VLOOKUP(E238,'Costos de operación'!$B:$N,13,FALSE),"")</f>
        <v/>
      </c>
    </row>
    <row r="262" spans="1:7" x14ac:dyDescent="0.25">
      <c r="A262" s="3" t="str">
        <f>IF(B239&gt;0,VLOOKUP(B239,'Costos de inversión'!$B$1:$N$382,2,FALSE),"")</f>
        <v>Total Costo de Inversión Inicial</v>
      </c>
      <c r="B262" s="89">
        <f>IF(B239&gt;0,VLOOKUP(B239,'Costos de inversión'!$B$1:$N$382,13,FALSE),"")</f>
        <v>23942013452</v>
      </c>
    </row>
    <row r="263" spans="1:7" x14ac:dyDescent="0.25">
      <c r="A263" s="3">
        <f>IF(B240&gt;0,VLOOKUP(B240,'Costos de inversión'!$B$1:$N$382,2,FALSE),"")</f>
        <v>0</v>
      </c>
      <c r="B263" s="89">
        <f>IF(B240&gt;0,VLOOKUP(B240,'Costos de inversión'!$B$1:$N$382,13,FALSE),"")</f>
        <v>0</v>
      </c>
    </row>
    <row r="264" spans="1:7" x14ac:dyDescent="0.25">
      <c r="B264" s="89"/>
    </row>
    <row r="265" spans="1:7" x14ac:dyDescent="0.25">
      <c r="B265" s="89"/>
    </row>
    <row r="269" spans="1:7" x14ac:dyDescent="0.25">
      <c r="A269" s="50" t="str">
        <f>+$C$170</f>
        <v>Tratamiento Mecánico Biológico</v>
      </c>
    </row>
    <row r="270" spans="1:7" x14ac:dyDescent="0.25">
      <c r="A270" s="3" t="s">
        <v>177</v>
      </c>
      <c r="D270" s="3" t="s">
        <v>178</v>
      </c>
      <c r="G270" s="3" t="s">
        <v>179</v>
      </c>
    </row>
    <row r="272" spans="1:7" x14ac:dyDescent="0.25">
      <c r="A272" s="3" t="s">
        <v>180</v>
      </c>
      <c r="B272" s="3">
        <f>+MATCH($C$170,'Costos de inversión'!$A:$A,0)</f>
        <v>63</v>
      </c>
      <c r="D272" s="3" t="s">
        <v>180</v>
      </c>
      <c r="E272" s="3">
        <f>MATCH($C$170,'Costos de operación'!$A:$A,0)</f>
        <v>49</v>
      </c>
    </row>
    <row r="273" spans="2:5" x14ac:dyDescent="0.25">
      <c r="B273" s="3">
        <f>+B272+1</f>
        <v>64</v>
      </c>
      <c r="E273" s="3">
        <f>+E272+1</f>
        <v>50</v>
      </c>
    </row>
    <row r="274" spans="2:5" x14ac:dyDescent="0.25">
      <c r="B274" s="3">
        <f t="shared" ref="B274:B291" si="6">+B273+1</f>
        <v>65</v>
      </c>
      <c r="E274" s="3">
        <f t="shared" ref="E274:E281" si="7">+E273+1</f>
        <v>51</v>
      </c>
    </row>
    <row r="275" spans="2:5" x14ac:dyDescent="0.25">
      <c r="B275" s="3">
        <f t="shared" si="6"/>
        <v>66</v>
      </c>
      <c r="E275" s="3">
        <f t="shared" si="7"/>
        <v>52</v>
      </c>
    </row>
    <row r="276" spans="2:5" x14ac:dyDescent="0.25">
      <c r="B276" s="3">
        <f t="shared" si="6"/>
        <v>67</v>
      </c>
      <c r="E276" s="3">
        <f t="shared" si="7"/>
        <v>53</v>
      </c>
    </row>
    <row r="277" spans="2:5" x14ac:dyDescent="0.25">
      <c r="B277" s="3">
        <f t="shared" si="6"/>
        <v>68</v>
      </c>
      <c r="E277" s="3">
        <f t="shared" si="7"/>
        <v>54</v>
      </c>
    </row>
    <row r="278" spans="2:5" x14ac:dyDescent="0.25">
      <c r="B278" s="3">
        <f t="shared" si="6"/>
        <v>69</v>
      </c>
      <c r="E278" s="3">
        <f t="shared" si="7"/>
        <v>55</v>
      </c>
    </row>
    <row r="279" spans="2:5" x14ac:dyDescent="0.25">
      <c r="B279" s="3">
        <f t="shared" si="6"/>
        <v>70</v>
      </c>
      <c r="E279" s="3">
        <f t="shared" si="7"/>
        <v>56</v>
      </c>
    </row>
    <row r="280" spans="2:5" x14ac:dyDescent="0.25">
      <c r="B280" s="3">
        <f t="shared" si="6"/>
        <v>71</v>
      </c>
      <c r="E280" s="3">
        <f t="shared" si="7"/>
        <v>57</v>
      </c>
    </row>
    <row r="281" spans="2:5" x14ac:dyDescent="0.25">
      <c r="B281" s="3">
        <f t="shared" si="6"/>
        <v>72</v>
      </c>
      <c r="E281" s="3">
        <f t="shared" si="7"/>
        <v>58</v>
      </c>
    </row>
    <row r="282" spans="2:5" x14ac:dyDescent="0.25">
      <c r="B282" s="3">
        <f t="shared" si="6"/>
        <v>73</v>
      </c>
    </row>
    <row r="283" spans="2:5" x14ac:dyDescent="0.25">
      <c r="B283" s="3">
        <f t="shared" si="6"/>
        <v>74</v>
      </c>
    </row>
    <row r="284" spans="2:5" x14ac:dyDescent="0.25">
      <c r="B284" s="3">
        <f t="shared" si="6"/>
        <v>75</v>
      </c>
    </row>
    <row r="285" spans="2:5" x14ac:dyDescent="0.25">
      <c r="B285" s="3">
        <f t="shared" si="6"/>
        <v>76</v>
      </c>
    </row>
    <row r="286" spans="2:5" x14ac:dyDescent="0.25">
      <c r="B286" s="3">
        <f t="shared" si="6"/>
        <v>77</v>
      </c>
    </row>
    <row r="287" spans="2:5" x14ac:dyDescent="0.25">
      <c r="B287" s="3">
        <f t="shared" si="6"/>
        <v>78</v>
      </c>
    </row>
    <row r="288" spans="2:5" x14ac:dyDescent="0.25">
      <c r="B288" s="3">
        <f t="shared" si="6"/>
        <v>79</v>
      </c>
    </row>
    <row r="289" spans="1:8" x14ac:dyDescent="0.25">
      <c r="B289" s="3">
        <f t="shared" si="6"/>
        <v>80</v>
      </c>
    </row>
    <row r="290" spans="1:8" x14ac:dyDescent="0.25">
      <c r="B290" s="3">
        <f t="shared" si="6"/>
        <v>81</v>
      </c>
    </row>
    <row r="291" spans="1:8" x14ac:dyDescent="0.25">
      <c r="B291" s="3">
        <f t="shared" si="6"/>
        <v>82</v>
      </c>
    </row>
    <row r="294" spans="1:8" x14ac:dyDescent="0.25">
      <c r="G294" s="3" t="str">
        <f>+G247</f>
        <v>Ingresos por tarifa (COP) (Promedio Anual)</v>
      </c>
      <c r="H294" s="89" t="e">
        <f>VLOOKUP($A$269,$C$156:$M$160,9,FALSE)/'Datos de entrada'!B8</f>
        <v>#DIV/0!</v>
      </c>
    </row>
    <row r="295" spans="1:8" x14ac:dyDescent="0.25">
      <c r="A295" s="3" t="str">
        <f>IF(B272&gt;0,VLOOKUP(B272,'Costos de inversión'!$B$1:$N$382,2,FALSE),"")</f>
        <v>Pre-inversión</v>
      </c>
      <c r="B295" s="89">
        <f>IF(B272&gt;0,VLOOKUP(B272,'Costos de inversión'!$B$1:$N$382,13,FALSE),"")</f>
        <v>0</v>
      </c>
      <c r="D295" s="3" t="str">
        <f>IF(E272&gt;0,VLOOKUP(E272,'Costos de operación'!$B:$N,2,FALSE),"")</f>
        <v>Disposición final de rechazos diferentes a residuos que van a otro tratamiento</v>
      </c>
      <c r="E295" s="89" t="e">
        <f>IF(E272&gt;0,VLOOKUP(E272,'Costos de operación'!$B:$N,13,FALSE),"")</f>
        <v>#VALUE!</v>
      </c>
      <c r="G295" s="3" t="str">
        <f>+G248</f>
        <v>Ingresos por comercialización (COP) (Promedio Anual)</v>
      </c>
      <c r="H295" s="90" t="e">
        <f>VLOOKUP($A$269,$C$156:$M$160,10,FALSE)/'Datos de entrada'!B8</f>
        <v>#DIV/0!</v>
      </c>
    </row>
    <row r="296" spans="1:8" x14ac:dyDescent="0.25">
      <c r="A296" s="3" t="str">
        <f>IF(B273&gt;0,VLOOKUP(B273,'Costos de inversión'!$B$1:$N$382,2,FALSE),"")</f>
        <v xml:space="preserve">   Estudios, Diseños </v>
      </c>
      <c r="B296" s="89">
        <f>IF(B273&gt;0,VLOOKUP(B273,'Costos de inversión'!$B$1:$N$382,13,FALSE),"")</f>
        <v>826000000</v>
      </c>
      <c r="D296" s="3" t="str">
        <f>IF(E273&gt;0,VLOOKUP(E273,'Costos de operación'!$B:$N,2,FALSE),"")</f>
        <v>Tratamiento RSO (compostaje aireación forzada)</v>
      </c>
      <c r="E296" s="89">
        <f>IF(E273&gt;0,VLOOKUP(E273,'Costos de operación'!$B:$N,13,FALSE),"")</f>
        <v>9437000000</v>
      </c>
      <c r="G296" s="3" t="s">
        <v>183</v>
      </c>
      <c r="H296" s="90" t="e">
        <f>+H295+H294</f>
        <v>#DIV/0!</v>
      </c>
    </row>
    <row r="297" spans="1:8" x14ac:dyDescent="0.25">
      <c r="A297" s="3" t="str">
        <f>IF(B274&gt;0,VLOOKUP(B274,'Costos de inversión'!$B$1:$N$382,2,FALSE),"")</f>
        <v xml:space="preserve">   Permisos</v>
      </c>
      <c r="B297" s="89">
        <f>IF(B274&gt;0,VLOOKUP(B274,'Costos de inversión'!$B$1:$N$382,13,FALSE),"")</f>
        <v>414000000</v>
      </c>
      <c r="D297" s="3" t="str">
        <f>IF(E274&gt;0,VLOOKUP(E274,'Costos de operación'!$B:$N,2,FALSE),"")</f>
        <v>Combustible</v>
      </c>
      <c r="E297" s="89">
        <f>IF(E274&gt;0,VLOOKUP(E274,'Costos de operación'!$B:$N,13,FALSE),"")</f>
        <v>1176000000</v>
      </c>
    </row>
    <row r="298" spans="1:8" x14ac:dyDescent="0.25">
      <c r="A298" s="3" t="str">
        <f>IF(B275&gt;0,VLOOKUP(B275,'Costos de inversión'!$B$1:$N$382,2,FALSE),"")</f>
        <v>Infraestructura</v>
      </c>
      <c r="B298" s="89">
        <f>IF(B275&gt;0,VLOOKUP(B275,'Costos de inversión'!$B$1:$N$382,13,FALSE),"")</f>
        <v>8820000000</v>
      </c>
      <c r="D298" s="3" t="str">
        <f>IF(E275&gt;0,VLOOKUP(E275,'Costos de operación'!$B:$N,2,FALSE),"")</f>
        <v>Energía (consumo)</v>
      </c>
      <c r="E298" s="89">
        <f>IF(E275&gt;0,VLOOKUP(E275,'Costos de operación'!$B:$N,13,FALSE),"")</f>
        <v>3248000000</v>
      </c>
    </row>
    <row r="299" spans="1:8" x14ac:dyDescent="0.25">
      <c r="A299" s="3" t="str">
        <f>IF(B276&gt;0,VLOOKUP(B276,'Costos de inversión'!$B$1:$N$382,2,FALSE),"")</f>
        <v>Maquinaria y Equipos (incluido el costo de instalación)</v>
      </c>
      <c r="B299" s="89">
        <f>IF(B276&gt;0,VLOOKUP(B276,'Costos de inversión'!$B$1:$N$382,13,FALSE),"")</f>
        <v>0</v>
      </c>
      <c r="D299" s="3" t="str">
        <f>IF(E276&gt;0,VLOOKUP(E276,'Costos de operación'!$B:$N,2,FALSE),"")</f>
        <v>Monitoreo Ambiental</v>
      </c>
      <c r="E299" s="89">
        <f>IF(E276&gt;0,VLOOKUP(E276,'Costos de operación'!$B:$N,13,FALSE),"")</f>
        <v>48000000</v>
      </c>
    </row>
    <row r="300" spans="1:8" x14ac:dyDescent="0.25">
      <c r="A300" s="3" t="str">
        <f>IF(B277&gt;0,VLOOKUP(B277,'Costos de inversión'!$B$1:$N$382,2,FALSE),"")</f>
        <v xml:space="preserve">   Bandas transportadoras</v>
      </c>
      <c r="B300" s="89">
        <f>IF(B277&gt;0,VLOOKUP(B277,'Costos de inversión'!$B$1:$N$382,13,FALSE),"")</f>
        <v>1176000000</v>
      </c>
      <c r="D300" s="3" t="str">
        <f>IF(E277&gt;0,VLOOKUP(E277,'Costos de operación'!$B:$N,2,FALSE),"")</f>
        <v xml:space="preserve">Mantenimiento - Maquinaria y equipos </v>
      </c>
      <c r="E300" s="89">
        <f>IF(E277&gt;0,VLOOKUP(E277,'Costos de operación'!$B:$N,13,FALSE),"")</f>
        <v>321000000</v>
      </c>
    </row>
    <row r="301" spans="1:8" x14ac:dyDescent="0.25">
      <c r="A301" s="3" t="str">
        <f>IF(B278&gt;0,VLOOKUP(B278,'Costos de inversión'!$B$1:$N$382,2,FALSE),"")</f>
        <v xml:space="preserve">   Sistema de tamizaje (piso vivo, tolva viva, bandas y tromel)</v>
      </c>
      <c r="B301" s="89">
        <f>IF(B278&gt;0,VLOOKUP(B278,'Costos de inversión'!$B$1:$N$382,13,FALSE),"")</f>
        <v>941000000</v>
      </c>
      <c r="D301" s="3" t="str">
        <f>IF(E278&gt;0,VLOOKUP(E278,'Costos de operación'!$B:$N,2,FALSE),"")</f>
        <v xml:space="preserve">Mantenimiento - Infraestructura </v>
      </c>
      <c r="E301" s="89">
        <f>IF(E278&gt;0,VLOOKUP(E278,'Costos de operación'!$B:$N,13,FALSE),"")</f>
        <v>104000000</v>
      </c>
    </row>
    <row r="302" spans="1:8" x14ac:dyDescent="0.25">
      <c r="A302" s="3" t="str">
        <f>IF(B279&gt;0,VLOOKUP(B279,'Costos de inversión'!$B$1:$N$382,2,FALSE),"")</f>
        <v xml:space="preserve">   Imán de remoción de metales</v>
      </c>
      <c r="B302" s="89">
        <f>IF(B279&gt;0,VLOOKUP(B279,'Costos de inversión'!$B$1:$N$382,13,FALSE),"")</f>
        <v>175766791</v>
      </c>
      <c r="D302" s="3" t="str">
        <f>IF(E279&gt;0,VLOOKUP(E279,'Costos de operación'!$B:$N,2,FALSE),"")</f>
        <v>Mano de Obra</v>
      </c>
      <c r="E302" s="89">
        <f>IF(E279&gt;0,VLOOKUP(E279,'Costos de operación'!$B:$N,13,FALSE),"")</f>
        <v>2469000000</v>
      </c>
    </row>
    <row r="303" spans="1:8" x14ac:dyDescent="0.25">
      <c r="A303" s="3" t="str">
        <f>IF(B280&gt;0,VLOOKUP(B280,'Costos de inversión'!$B$1:$N$382,2,FALSE),"")</f>
        <v xml:space="preserve">   Sistema separación balística </v>
      </c>
      <c r="B303" s="89">
        <f>IF(B280&gt;0,VLOOKUP(B280,'Costos de inversión'!$B$1:$N$382,13,FALSE),"")</f>
        <v>2351000000</v>
      </c>
      <c r="D303" s="3" t="str">
        <f>IF(E280&gt;0,VLOOKUP(E280,'Costos de operación'!$B:$N,2,FALSE),"")</f>
        <v>Valor de Operación Anual</v>
      </c>
      <c r="E303" s="89" t="e">
        <f>IF(E280&gt;0,VLOOKUP(E280,'Costos de operación'!$B:$N,13,FALSE),"")</f>
        <v>#VALUE!</v>
      </c>
    </row>
    <row r="304" spans="1:8" x14ac:dyDescent="0.25">
      <c r="A304" s="3" t="str">
        <f>IF(B281&gt;0,VLOOKUP(B281,'Costos de inversión'!$B$1:$N$382,2,FALSE),"")</f>
        <v xml:space="preserve">   Rompebolsas</v>
      </c>
      <c r="B304" s="89">
        <f>IF(B281&gt;0,VLOOKUP(B281,'Costos de inversión'!$B$1:$N$382,13,FALSE),"")</f>
        <v>2822000000</v>
      </c>
      <c r="D304" s="3">
        <f>IF(E281&gt;0,VLOOKUP(E281,'Costos de operación'!$B:$N,2,FALSE),"")</f>
        <v>0</v>
      </c>
      <c r="E304" s="89">
        <f>IF(E281&gt;0,VLOOKUP(E281,'Costos de operación'!$B:$N,13,FALSE),"")</f>
        <v>0</v>
      </c>
    </row>
    <row r="305" spans="1:5" x14ac:dyDescent="0.25">
      <c r="A305" s="3" t="str">
        <f>IF(B282&gt;0,VLOOKUP(B282,'Costos de inversión'!$B$1:$N$382,2,FALSE),"")</f>
        <v xml:space="preserve">   Báscula de pesaje</v>
      </c>
      <c r="B305" s="89">
        <f>IF(B282&gt;0,VLOOKUP(B282,'Costos de inversión'!$B$1:$N$382,13,FALSE),"")</f>
        <v>206314606</v>
      </c>
      <c r="D305" s="3" t="str">
        <f>IF(E282&gt;0,VLOOKUP(E282,'Costos de operación'!$B:$N,2,FALSE),"")</f>
        <v/>
      </c>
      <c r="E305" s="89" t="str">
        <f>IF(E282&gt;0,VLOOKUP(E282,'Costos de operación'!$B:$N,13,FALSE),"")</f>
        <v/>
      </c>
    </row>
    <row r="306" spans="1:5" x14ac:dyDescent="0.25">
      <c r="A306" s="3" t="str">
        <f>IF(B283&gt;0,VLOOKUP(B283,'Costos de inversión'!$B$1:$N$382,2,FALSE),"")</f>
        <v>Sistema de compostaje (Compostaje en pilas con aireación forzada)</v>
      </c>
      <c r="B306" s="89">
        <f>IF(B283&gt;0,VLOOKUP(B283,'Costos de inversión'!$B$1:$N$382,13,FALSE),"")</f>
        <v>36512000000</v>
      </c>
      <c r="D306" s="3" t="str">
        <f>IF(E283&gt;0,VLOOKUP(E283,'Costos de operación'!$B:$N,2,FALSE),"")</f>
        <v/>
      </c>
      <c r="E306" s="89" t="str">
        <f>IF(E283&gt;0,VLOOKUP(E283,'Costos de operación'!$B:$N,13,FALSE),"")</f>
        <v/>
      </c>
    </row>
    <row r="307" spans="1:5" x14ac:dyDescent="0.25">
      <c r="A307" s="3" t="str">
        <f>IF(B284&gt;0,VLOOKUP(B284,'Costos de inversión'!$B$1:$N$382,2,FALSE),"")</f>
        <v>Total Costo de Inversión Inicial</v>
      </c>
      <c r="B307" s="89">
        <f>IF(B284&gt;0,VLOOKUP(B284,'Costos de inversión'!$B$1:$N$382,13,FALSE),"")</f>
        <v>54244081397</v>
      </c>
      <c r="D307" s="3" t="str">
        <f>IF(E284&gt;0,VLOOKUP(E284,'Costos de operación'!$B:$N,2,FALSE),"")</f>
        <v/>
      </c>
      <c r="E307" s="89" t="str">
        <f>IF(E284&gt;0,VLOOKUP(E284,'Costos de operación'!$B:$N,13,FALSE),"")</f>
        <v/>
      </c>
    </row>
    <row r="308" spans="1:5" x14ac:dyDescent="0.25">
      <c r="A308" s="3">
        <f>IF(B285&gt;0,VLOOKUP(B285,'Costos de inversión'!$B$1:$N$382,2,FALSE),"")</f>
        <v>0</v>
      </c>
      <c r="B308" s="89">
        <f>IF(B285&gt;0,VLOOKUP(B285,'Costos de inversión'!$B$1:$N$382,13,FALSE),"")</f>
        <v>0</v>
      </c>
      <c r="D308" s="3" t="str">
        <f>IF(E285&gt;0,VLOOKUP(E285,'Costos de operación'!$B:$N,2,FALSE),"")</f>
        <v/>
      </c>
      <c r="E308" s="89" t="str">
        <f>IF(E285&gt;0,VLOOKUP(E285,'Costos de operación'!$B:$N,13,FALSE),"")</f>
        <v/>
      </c>
    </row>
    <row r="309" spans="1:5" x14ac:dyDescent="0.25">
      <c r="A309" s="3">
        <f>IF(B286&gt;0,VLOOKUP(B286,'Costos de inversión'!$B$1:$N$382,2,FALSE),"")</f>
        <v>0</v>
      </c>
      <c r="B309" s="89">
        <f>IF(B286&gt;0,VLOOKUP(B286,'Costos de inversión'!$B$1:$N$382,13,FALSE),"")</f>
        <v>0</v>
      </c>
    </row>
    <row r="310" spans="1:5" x14ac:dyDescent="0.25">
      <c r="A310" s="3">
        <f>IF(B287&gt;0,VLOOKUP(B287,'Costos de inversión'!$B$1:$N$382,2,FALSE),"")</f>
        <v>0</v>
      </c>
      <c r="B310" s="89">
        <f>IF(B287&gt;0,VLOOKUP(B287,'Costos de inversión'!$B$1:$N$382,13,FALSE),"")</f>
        <v>0</v>
      </c>
    </row>
    <row r="311" spans="1:5" x14ac:dyDescent="0.25">
      <c r="B311" s="89"/>
    </row>
    <row r="312" spans="1:5" x14ac:dyDescent="0.25">
      <c r="B312" s="89"/>
    </row>
    <row r="320" spans="1:5" ht="15.75" x14ac:dyDescent="0.25">
      <c r="A320" s="151" t="s">
        <v>184</v>
      </c>
    </row>
    <row r="321" spans="1:2" x14ac:dyDescent="0.25">
      <c r="A321" s="150" t="str">
        <f>+'Datos de entrada'!A11</f>
        <v>Tratamiento de residuos orgánicos provenientes de plazas de mercado y centrales de abasto no incluidos anteriormente</v>
      </c>
      <c r="B321" s="3" t="str">
        <f>+IF('Datos de entrada'!B11="Si",0,"No")</f>
        <v>No</v>
      </c>
    </row>
    <row r="322" spans="1:2" x14ac:dyDescent="0.25">
      <c r="A322" s="150" t="str">
        <f>+'Datos de entrada'!A13</f>
        <v>Tratamiento de residuos orgánicos provenientes de las actividades de poda de árboles y corte de césped no incluidos anteriormente</v>
      </c>
      <c r="B322" s="3" t="str">
        <f>+IF('Datos de entrada'!B13="Si",0,"No")</f>
        <v>No</v>
      </c>
    </row>
    <row r="323" spans="1:2" x14ac:dyDescent="0.25">
      <c r="A323" s="3" t="str">
        <f>+'Datos de entrada'!A6</f>
        <v>Proyecto Regional</v>
      </c>
      <c r="B323" s="3" t="str">
        <f>+IF('Datos de entrada'!B6="Si",0,"No")</f>
        <v>No</v>
      </c>
    </row>
  </sheetData>
  <mergeCells count="6">
    <mergeCell ref="X154:Z154"/>
    <mergeCell ref="A141:A142"/>
    <mergeCell ref="A146:A151"/>
    <mergeCell ref="B146:F151"/>
    <mergeCell ref="A122:C122"/>
    <mergeCell ref="B145:F145"/>
  </mergeCells>
  <conditionalFormatting sqref="C134">
    <cfRule type="cellIs" dxfId="11" priority="4" operator="equal">
      <formula>"Alta"</formula>
    </cfRule>
    <cfRule type="cellIs" dxfId="10" priority="5" operator="equal">
      <formula>"Media"</formula>
    </cfRule>
    <cfRule type="cellIs" dxfId="9" priority="6" operator="equal">
      <formula>"Baja"</formula>
    </cfRule>
  </conditionalFormatting>
  <conditionalFormatting sqref="C135:C140">
    <cfRule type="cellIs" dxfId="8" priority="1" operator="equal">
      <formula>"Alta"</formula>
    </cfRule>
    <cfRule type="cellIs" dxfId="7" priority="2" operator="equal">
      <formula>"Media"</formula>
    </cfRule>
    <cfRule type="cellIs" dxfId="6" priority="3" operator="equal">
      <formula>"Baja"</formula>
    </cfRule>
  </conditionalFormatting>
  <pageMargins left="0.7" right="0.7" top="0.75" bottom="0.75" header="0.3" footer="0.3"/>
  <ignoredErrors>
    <ignoredError sqref="V156:V16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087C2-B1E5-4551-9E27-F9961A42D0B9}">
  <sheetPr codeName="Hoja14">
    <tabColor theme="6"/>
  </sheetPr>
  <dimension ref="A1:H203"/>
  <sheetViews>
    <sheetView topLeftCell="A102" zoomScale="85" zoomScaleNormal="85" workbookViewId="0">
      <selection activeCell="B128" sqref="B128"/>
    </sheetView>
  </sheetViews>
  <sheetFormatPr baseColWidth="10" defaultColWidth="11.42578125" defaultRowHeight="15" x14ac:dyDescent="0.25"/>
  <cols>
    <col min="1" max="1" width="34.42578125" style="2" bestFit="1" customWidth="1"/>
    <col min="2" max="2" width="26.7109375" style="2" bestFit="1" customWidth="1"/>
    <col min="3" max="3" width="24.42578125" style="2" bestFit="1" customWidth="1"/>
    <col min="4" max="4" width="44.85546875" style="2" customWidth="1"/>
    <col min="5" max="5" width="60.28515625" style="2" customWidth="1"/>
    <col min="6" max="6" width="20.85546875" style="2" bestFit="1" customWidth="1"/>
    <col min="7" max="7" width="41.85546875" style="2" customWidth="1"/>
    <col min="8" max="16384" width="11.42578125" style="2"/>
  </cols>
  <sheetData>
    <row r="1" spans="1:8" s="6" customFormat="1" ht="21" x14ac:dyDescent="0.35">
      <c r="A1" s="5" t="s">
        <v>117</v>
      </c>
    </row>
    <row r="3" spans="1:8" x14ac:dyDescent="0.25">
      <c r="A3" s="48" t="s">
        <v>185</v>
      </c>
      <c r="B3" s="281" t="s">
        <v>13</v>
      </c>
      <c r="C3" s="281"/>
      <c r="E3" s="48" t="s">
        <v>32</v>
      </c>
      <c r="F3" s="48" t="s">
        <v>186</v>
      </c>
    </row>
    <row r="4" spans="1:8" x14ac:dyDescent="0.25">
      <c r="A4" s="4" t="s">
        <v>187</v>
      </c>
      <c r="B4" s="4" t="s">
        <v>188</v>
      </c>
      <c r="C4" s="4">
        <v>8</v>
      </c>
      <c r="E4" s="4" t="s">
        <v>33</v>
      </c>
      <c r="F4" s="4">
        <v>0.5</v>
      </c>
    </row>
    <row r="5" spans="1:8" x14ac:dyDescent="0.25">
      <c r="A5" s="49" t="s">
        <v>189</v>
      </c>
      <c r="B5" s="282" t="s">
        <v>190</v>
      </c>
      <c r="C5" s="282"/>
      <c r="E5" s="49" t="s">
        <v>36</v>
      </c>
      <c r="F5" s="49">
        <v>0.125</v>
      </c>
    </row>
    <row r="6" spans="1:8" x14ac:dyDescent="0.25">
      <c r="A6" s="4" t="s">
        <v>191</v>
      </c>
      <c r="B6" s="4" t="s">
        <v>192</v>
      </c>
      <c r="C6" s="4">
        <v>4</v>
      </c>
      <c r="E6" s="4" t="s">
        <v>193</v>
      </c>
      <c r="F6" s="4">
        <v>0.125</v>
      </c>
    </row>
    <row r="7" spans="1:8" x14ac:dyDescent="0.25">
      <c r="A7" s="3"/>
      <c r="B7" s="3"/>
      <c r="C7" s="3"/>
      <c r="E7" s="49" t="s">
        <v>194</v>
      </c>
      <c r="F7" s="49">
        <v>0.25</v>
      </c>
    </row>
    <row r="8" spans="1:8" x14ac:dyDescent="0.25">
      <c r="A8" s="3"/>
      <c r="B8" s="3"/>
      <c r="C8" s="3"/>
    </row>
    <row r="10" spans="1:8" x14ac:dyDescent="0.25">
      <c r="A10" s="281" t="s">
        <v>33</v>
      </c>
      <c r="B10" s="281"/>
      <c r="D10" s="281" t="s">
        <v>36</v>
      </c>
      <c r="E10" s="281"/>
      <c r="G10" s="281" t="s">
        <v>193</v>
      </c>
      <c r="H10" s="281"/>
    </row>
    <row r="11" spans="1:8" x14ac:dyDescent="0.25">
      <c r="A11" s="7" t="s">
        <v>95</v>
      </c>
      <c r="B11" s="7" t="s">
        <v>13</v>
      </c>
      <c r="D11" s="7" t="s">
        <v>95</v>
      </c>
      <c r="E11" s="7" t="s">
        <v>13</v>
      </c>
      <c r="G11" s="7" t="s">
        <v>95</v>
      </c>
      <c r="H11" s="7" t="s">
        <v>13</v>
      </c>
    </row>
    <row r="12" spans="1:8" x14ac:dyDescent="0.25">
      <c r="A12" s="49" t="s">
        <v>114</v>
      </c>
      <c r="B12" s="49">
        <v>2</v>
      </c>
      <c r="D12" s="49" t="s">
        <v>195</v>
      </c>
      <c r="E12" s="49">
        <v>1</v>
      </c>
      <c r="G12" s="49" t="s">
        <v>16</v>
      </c>
      <c r="H12" s="49">
        <v>1</v>
      </c>
    </row>
    <row r="13" spans="1:8" x14ac:dyDescent="0.25">
      <c r="A13" s="4" t="s">
        <v>196</v>
      </c>
      <c r="B13" s="4">
        <v>4</v>
      </c>
      <c r="D13" s="4" t="s">
        <v>197</v>
      </c>
      <c r="E13" s="4">
        <v>2</v>
      </c>
      <c r="G13" s="4" t="s">
        <v>25</v>
      </c>
      <c r="H13" s="4">
        <v>10</v>
      </c>
    </row>
    <row r="14" spans="1:8" x14ac:dyDescent="0.25">
      <c r="A14" s="49" t="s">
        <v>112</v>
      </c>
      <c r="B14" s="49">
        <v>6</v>
      </c>
      <c r="D14" s="49" t="s">
        <v>37</v>
      </c>
      <c r="E14" s="49">
        <v>4</v>
      </c>
    </row>
    <row r="15" spans="1:8" x14ac:dyDescent="0.25">
      <c r="A15" s="4" t="s">
        <v>34</v>
      </c>
      <c r="B15" s="4">
        <v>8</v>
      </c>
      <c r="D15" s="4" t="s">
        <v>198</v>
      </c>
      <c r="E15" s="4">
        <v>6</v>
      </c>
    </row>
    <row r="16" spans="1:8" x14ac:dyDescent="0.25">
      <c r="A16" s="49" t="s">
        <v>199</v>
      </c>
      <c r="B16" s="49">
        <v>10</v>
      </c>
      <c r="D16" s="49" t="s">
        <v>200</v>
      </c>
      <c r="E16" s="49">
        <v>8</v>
      </c>
      <c r="G16" s="281" t="s">
        <v>194</v>
      </c>
      <c r="H16" s="281"/>
    </row>
    <row r="17" spans="1:8" x14ac:dyDescent="0.25">
      <c r="D17" s="4" t="s">
        <v>201</v>
      </c>
      <c r="E17" s="4">
        <v>10</v>
      </c>
      <c r="G17" s="7" t="s">
        <v>95</v>
      </c>
      <c r="H17" s="7" t="s">
        <v>13</v>
      </c>
    </row>
    <row r="18" spans="1:8" x14ac:dyDescent="0.25">
      <c r="D18" s="49" t="s">
        <v>202</v>
      </c>
      <c r="E18" s="49">
        <v>10</v>
      </c>
      <c r="G18" s="49" t="s">
        <v>16</v>
      </c>
      <c r="H18" s="49">
        <v>10</v>
      </c>
    </row>
    <row r="19" spans="1:8" x14ac:dyDescent="0.25">
      <c r="G19" s="4" t="s">
        <v>25</v>
      </c>
      <c r="H19" s="4">
        <v>1</v>
      </c>
    </row>
    <row r="21" spans="1:8" ht="21" x14ac:dyDescent="0.35">
      <c r="A21" s="5" t="s">
        <v>203</v>
      </c>
    </row>
    <row r="23" spans="1:8" x14ac:dyDescent="0.25">
      <c r="A23" s="48" t="s">
        <v>185</v>
      </c>
      <c r="B23" s="281" t="s">
        <v>13</v>
      </c>
      <c r="C23" s="281"/>
      <c r="E23" s="48" t="s">
        <v>32</v>
      </c>
      <c r="F23" s="48" t="s">
        <v>186</v>
      </c>
    </row>
    <row r="24" spans="1:8" x14ac:dyDescent="0.25">
      <c r="A24" s="4" t="s">
        <v>187</v>
      </c>
      <c r="B24" s="4" t="s">
        <v>188</v>
      </c>
      <c r="C24" s="4">
        <v>8</v>
      </c>
      <c r="E24" s="4" t="s">
        <v>41</v>
      </c>
      <c r="F24" s="4">
        <v>0.4</v>
      </c>
    </row>
    <row r="25" spans="1:8" x14ac:dyDescent="0.25">
      <c r="A25" s="49" t="s">
        <v>189</v>
      </c>
      <c r="B25" s="282" t="s">
        <v>190</v>
      </c>
      <c r="C25" s="282"/>
      <c r="E25" s="49" t="s">
        <v>204</v>
      </c>
      <c r="F25" s="49">
        <v>0.2</v>
      </c>
    </row>
    <row r="26" spans="1:8" x14ac:dyDescent="0.25">
      <c r="A26" s="4" t="s">
        <v>191</v>
      </c>
      <c r="B26" s="4" t="s">
        <v>192</v>
      </c>
      <c r="C26" s="4">
        <v>4</v>
      </c>
      <c r="E26" s="8" t="str">
        <f>G30</f>
        <v>Línea base PGIRS actualizada</v>
      </c>
      <c r="F26" s="4">
        <v>0.4</v>
      </c>
    </row>
    <row r="28" spans="1:8" x14ac:dyDescent="0.25">
      <c r="A28" s="3"/>
      <c r="B28" s="3"/>
      <c r="C28" s="3"/>
    </row>
    <row r="29" spans="1:8" x14ac:dyDescent="0.25">
      <c r="A29" s="3"/>
      <c r="B29" s="3"/>
      <c r="C29" s="3"/>
    </row>
    <row r="30" spans="1:8" ht="28.5" customHeight="1" x14ac:dyDescent="0.25">
      <c r="A30" s="281" t="s">
        <v>41</v>
      </c>
      <c r="B30" s="281"/>
      <c r="D30" s="281" t="s">
        <v>204</v>
      </c>
      <c r="E30" s="281"/>
      <c r="G30" s="280" t="s">
        <v>205</v>
      </c>
      <c r="H30" s="280"/>
    </row>
    <row r="31" spans="1:8" x14ac:dyDescent="0.25">
      <c r="A31" s="7" t="s">
        <v>95</v>
      </c>
      <c r="B31" s="7" t="s">
        <v>13</v>
      </c>
      <c r="D31" s="7" t="s">
        <v>95</v>
      </c>
      <c r="E31" s="7" t="s">
        <v>13</v>
      </c>
      <c r="G31" s="7" t="s">
        <v>95</v>
      </c>
      <c r="H31" s="7" t="s">
        <v>13</v>
      </c>
    </row>
    <row r="32" spans="1:8" x14ac:dyDescent="0.25">
      <c r="A32" s="49" t="s">
        <v>25</v>
      </c>
      <c r="B32" s="49">
        <v>1</v>
      </c>
      <c r="D32" s="49" t="s">
        <v>25</v>
      </c>
      <c r="E32" s="49">
        <v>1</v>
      </c>
      <c r="G32" s="49" t="s">
        <v>25</v>
      </c>
      <c r="H32" s="49">
        <v>1</v>
      </c>
    </row>
    <row r="33" spans="1:8" x14ac:dyDescent="0.25">
      <c r="A33" s="4" t="s">
        <v>16</v>
      </c>
      <c r="B33" s="4">
        <v>10</v>
      </c>
      <c r="D33" s="4" t="s">
        <v>16</v>
      </c>
      <c r="E33" s="4">
        <v>10</v>
      </c>
      <c r="G33" s="4" t="s">
        <v>16</v>
      </c>
      <c r="H33" s="4">
        <v>10</v>
      </c>
    </row>
    <row r="38" spans="1:8" ht="21" x14ac:dyDescent="0.35">
      <c r="A38" s="5" t="s">
        <v>206</v>
      </c>
    </row>
    <row r="40" spans="1:8" x14ac:dyDescent="0.25">
      <c r="A40" s="48" t="s">
        <v>185</v>
      </c>
      <c r="B40" s="281" t="s">
        <v>13</v>
      </c>
      <c r="C40" s="281"/>
      <c r="E40" s="48" t="s">
        <v>32</v>
      </c>
      <c r="F40" s="48" t="s">
        <v>186</v>
      </c>
    </row>
    <row r="41" spans="1:8" ht="30" x14ac:dyDescent="0.25">
      <c r="A41" s="4" t="s">
        <v>187</v>
      </c>
      <c r="B41" s="4" t="s">
        <v>188</v>
      </c>
      <c r="C41" s="4">
        <v>8</v>
      </c>
      <c r="E41" s="8" t="s">
        <v>46</v>
      </c>
      <c r="F41" s="4">
        <v>0.4</v>
      </c>
    </row>
    <row r="42" spans="1:8" ht="30" x14ac:dyDescent="0.25">
      <c r="A42" s="49" t="s">
        <v>189</v>
      </c>
      <c r="B42" s="282" t="s">
        <v>190</v>
      </c>
      <c r="C42" s="282"/>
      <c r="E42" s="10" t="s">
        <v>48</v>
      </c>
      <c r="F42" s="49">
        <v>0.3</v>
      </c>
    </row>
    <row r="43" spans="1:8" x14ac:dyDescent="0.25">
      <c r="A43" s="4" t="s">
        <v>191</v>
      </c>
      <c r="B43" s="4" t="s">
        <v>192</v>
      </c>
      <c r="C43" s="4">
        <v>4</v>
      </c>
      <c r="E43" s="8" t="s">
        <v>207</v>
      </c>
      <c r="F43" s="4">
        <v>0.15</v>
      </c>
    </row>
    <row r="44" spans="1:8" ht="30" x14ac:dyDescent="0.25">
      <c r="E44" s="10" t="s">
        <v>208</v>
      </c>
      <c r="F44" s="49">
        <v>0.15</v>
      </c>
    </row>
    <row r="47" spans="1:8" x14ac:dyDescent="0.25">
      <c r="A47" s="281" t="s">
        <v>209</v>
      </c>
      <c r="B47" s="281"/>
      <c r="D47" s="281" t="s">
        <v>207</v>
      </c>
      <c r="E47" s="281"/>
      <c r="G47" s="281" t="s">
        <v>207</v>
      </c>
      <c r="H47" s="281"/>
    </row>
    <row r="48" spans="1:8" x14ac:dyDescent="0.25">
      <c r="A48" s="7" t="s">
        <v>95</v>
      </c>
      <c r="B48" s="7" t="s">
        <v>13</v>
      </c>
      <c r="D48" s="7" t="s">
        <v>95</v>
      </c>
      <c r="E48" s="7" t="s">
        <v>13</v>
      </c>
      <c r="G48" s="7" t="s">
        <v>95</v>
      </c>
      <c r="H48" s="7" t="s">
        <v>13</v>
      </c>
    </row>
    <row r="49" spans="1:8" x14ac:dyDescent="0.25">
      <c r="A49" s="49" t="s">
        <v>210</v>
      </c>
      <c r="B49" s="49">
        <v>3</v>
      </c>
      <c r="D49" s="49" t="s">
        <v>211</v>
      </c>
      <c r="E49" s="49">
        <v>10</v>
      </c>
      <c r="G49" s="10" t="s">
        <v>212</v>
      </c>
      <c r="H49" s="49">
        <v>10</v>
      </c>
    </row>
    <row r="50" spans="1:8" ht="30" x14ac:dyDescent="0.25">
      <c r="A50" s="4" t="s">
        <v>49</v>
      </c>
      <c r="B50" s="4">
        <v>6</v>
      </c>
      <c r="D50" s="4" t="s">
        <v>213</v>
      </c>
      <c r="E50" s="4">
        <v>8</v>
      </c>
      <c r="G50" s="8" t="s">
        <v>214</v>
      </c>
      <c r="H50" s="4">
        <v>4</v>
      </c>
    </row>
    <row r="51" spans="1:8" ht="30" x14ac:dyDescent="0.25">
      <c r="A51" s="49" t="s">
        <v>215</v>
      </c>
      <c r="B51" s="49">
        <v>8</v>
      </c>
      <c r="D51" s="49" t="s">
        <v>216</v>
      </c>
      <c r="E51" s="49">
        <v>6</v>
      </c>
      <c r="G51" s="10" t="s">
        <v>53</v>
      </c>
      <c r="H51" s="49">
        <v>6</v>
      </c>
    </row>
    <row r="52" spans="1:8" ht="30" x14ac:dyDescent="0.25">
      <c r="A52" s="4" t="s">
        <v>47</v>
      </c>
      <c r="B52" s="4">
        <v>10</v>
      </c>
      <c r="D52" s="4" t="s">
        <v>217</v>
      </c>
      <c r="E52" s="4">
        <v>4</v>
      </c>
      <c r="G52" s="8" t="s">
        <v>218</v>
      </c>
      <c r="H52" s="4">
        <v>8</v>
      </c>
    </row>
    <row r="53" spans="1:8" ht="30" x14ac:dyDescent="0.25">
      <c r="D53" s="49" t="s">
        <v>219</v>
      </c>
      <c r="E53" s="49">
        <v>2</v>
      </c>
      <c r="G53" s="10" t="s">
        <v>220</v>
      </c>
      <c r="H53" s="49">
        <v>10</v>
      </c>
    </row>
    <row r="56" spans="1:8" ht="21" x14ac:dyDescent="0.35">
      <c r="A56" s="5" t="s">
        <v>221</v>
      </c>
    </row>
    <row r="58" spans="1:8" x14ac:dyDescent="0.25">
      <c r="A58" s="48" t="s">
        <v>185</v>
      </c>
      <c r="B58" s="281" t="s">
        <v>13</v>
      </c>
      <c r="C58" s="281"/>
      <c r="E58" s="48" t="s">
        <v>32</v>
      </c>
      <c r="F58" s="48" t="s">
        <v>186</v>
      </c>
    </row>
    <row r="59" spans="1:8" x14ac:dyDescent="0.25">
      <c r="A59" s="4" t="s">
        <v>187</v>
      </c>
      <c r="B59" s="4" t="s">
        <v>188</v>
      </c>
      <c r="C59" s="4">
        <v>8</v>
      </c>
      <c r="E59" s="8" t="s">
        <v>55</v>
      </c>
      <c r="F59" s="4">
        <v>0.5</v>
      </c>
    </row>
    <row r="60" spans="1:8" x14ac:dyDescent="0.25">
      <c r="A60" s="49" t="s">
        <v>189</v>
      </c>
      <c r="B60" s="282" t="s">
        <v>190</v>
      </c>
      <c r="C60" s="282"/>
      <c r="E60" s="10" t="s">
        <v>57</v>
      </c>
      <c r="F60" s="49">
        <v>0.1</v>
      </c>
    </row>
    <row r="61" spans="1:8" x14ac:dyDescent="0.25">
      <c r="A61" s="4" t="s">
        <v>191</v>
      </c>
      <c r="B61" s="4" t="s">
        <v>192</v>
      </c>
      <c r="C61" s="4">
        <v>4</v>
      </c>
      <c r="E61" s="8" t="s">
        <v>58</v>
      </c>
      <c r="F61" s="4">
        <v>0.1</v>
      </c>
    </row>
    <row r="62" spans="1:8" x14ac:dyDescent="0.25">
      <c r="E62" s="10" t="s">
        <v>60</v>
      </c>
      <c r="F62" s="49">
        <v>0.1</v>
      </c>
    </row>
    <row r="63" spans="1:8" ht="30" x14ac:dyDescent="0.25">
      <c r="E63" s="8" t="s">
        <v>222</v>
      </c>
      <c r="F63" s="4">
        <v>0.2</v>
      </c>
    </row>
    <row r="66" spans="1:8" x14ac:dyDescent="0.25">
      <c r="A66" s="281" t="s">
        <v>55</v>
      </c>
      <c r="B66" s="281"/>
      <c r="D66" s="281" t="s">
        <v>57</v>
      </c>
      <c r="E66" s="281"/>
      <c r="G66" s="281" t="s">
        <v>58</v>
      </c>
      <c r="H66" s="281"/>
    </row>
    <row r="67" spans="1:8" x14ac:dyDescent="0.25">
      <c r="A67" s="7" t="s">
        <v>95</v>
      </c>
      <c r="B67" s="7" t="s">
        <v>13</v>
      </c>
      <c r="D67" s="7" t="s">
        <v>95</v>
      </c>
      <c r="E67" s="7" t="s">
        <v>13</v>
      </c>
      <c r="G67" s="7" t="s">
        <v>95</v>
      </c>
      <c r="H67" s="7" t="s">
        <v>13</v>
      </c>
    </row>
    <row r="68" spans="1:8" x14ac:dyDescent="0.25">
      <c r="A68" s="49" t="s">
        <v>56</v>
      </c>
      <c r="B68" s="49">
        <v>10</v>
      </c>
      <c r="D68" s="49" t="s">
        <v>25</v>
      </c>
      <c r="E68" s="49">
        <v>1</v>
      </c>
      <c r="G68" s="49" t="s">
        <v>223</v>
      </c>
      <c r="H68" s="49">
        <v>2</v>
      </c>
    </row>
    <row r="69" spans="1:8" x14ac:dyDescent="0.25">
      <c r="A69" s="4" t="s">
        <v>224</v>
      </c>
      <c r="B69" s="4">
        <v>7</v>
      </c>
      <c r="D69" s="4" t="s">
        <v>16</v>
      </c>
      <c r="E69" s="4">
        <v>10</v>
      </c>
      <c r="G69" s="4" t="s">
        <v>61</v>
      </c>
      <c r="H69" s="4">
        <v>4</v>
      </c>
    </row>
    <row r="70" spans="1:8" x14ac:dyDescent="0.25">
      <c r="A70" s="49" t="s">
        <v>225</v>
      </c>
      <c r="B70" s="49">
        <v>5</v>
      </c>
      <c r="G70" s="49" t="s">
        <v>226</v>
      </c>
      <c r="H70" s="49">
        <v>6</v>
      </c>
    </row>
    <row r="71" spans="1:8" x14ac:dyDescent="0.25">
      <c r="A71" s="4" t="s">
        <v>227</v>
      </c>
      <c r="B71" s="4">
        <v>3</v>
      </c>
      <c r="G71" s="4" t="s">
        <v>228</v>
      </c>
      <c r="H71" s="4">
        <v>8</v>
      </c>
    </row>
    <row r="72" spans="1:8" x14ac:dyDescent="0.25">
      <c r="A72" s="49" t="s">
        <v>229</v>
      </c>
      <c r="B72" s="49">
        <v>1</v>
      </c>
      <c r="G72" s="49" t="s">
        <v>59</v>
      </c>
      <c r="H72" s="49">
        <v>10</v>
      </c>
    </row>
    <row r="75" spans="1:8" x14ac:dyDescent="0.25">
      <c r="A75" s="281" t="s">
        <v>60</v>
      </c>
      <c r="B75" s="281"/>
      <c r="D75" s="281" t="s">
        <v>222</v>
      </c>
      <c r="E75" s="281"/>
    </row>
    <row r="76" spans="1:8" x14ac:dyDescent="0.25">
      <c r="A76" s="7" t="s">
        <v>95</v>
      </c>
      <c r="B76" s="7" t="s">
        <v>13</v>
      </c>
      <c r="D76" s="7" t="s">
        <v>95</v>
      </c>
      <c r="E76" s="7" t="s">
        <v>13</v>
      </c>
    </row>
    <row r="77" spans="1:8" x14ac:dyDescent="0.25">
      <c r="A77" s="49" t="s">
        <v>223</v>
      </c>
      <c r="B77" s="49">
        <v>2</v>
      </c>
      <c r="D77" s="10" t="s">
        <v>63</v>
      </c>
      <c r="E77" s="49">
        <v>1</v>
      </c>
    </row>
    <row r="78" spans="1:8" ht="30" x14ac:dyDescent="0.25">
      <c r="A78" s="4" t="s">
        <v>61</v>
      </c>
      <c r="B78" s="4">
        <v>4</v>
      </c>
      <c r="D78" s="8" t="s">
        <v>230</v>
      </c>
      <c r="E78" s="4">
        <v>5</v>
      </c>
    </row>
    <row r="79" spans="1:8" ht="30" x14ac:dyDescent="0.25">
      <c r="A79" s="49" t="s">
        <v>226</v>
      </c>
      <c r="B79" s="49">
        <v>6</v>
      </c>
      <c r="D79" s="10" t="s">
        <v>231</v>
      </c>
      <c r="E79" s="49">
        <v>10</v>
      </c>
    </row>
    <row r="80" spans="1:8" x14ac:dyDescent="0.25">
      <c r="A80" s="4" t="s">
        <v>228</v>
      </c>
      <c r="B80" s="4">
        <v>8</v>
      </c>
    </row>
    <row r="81" spans="1:8" x14ac:dyDescent="0.25">
      <c r="A81" s="49" t="s">
        <v>59</v>
      </c>
      <c r="B81" s="49">
        <v>10</v>
      </c>
    </row>
    <row r="83" spans="1:8" ht="21" x14ac:dyDescent="0.35">
      <c r="A83" s="5" t="s">
        <v>232</v>
      </c>
    </row>
    <row r="85" spans="1:8" x14ac:dyDescent="0.25">
      <c r="A85" s="48" t="s">
        <v>185</v>
      </c>
      <c r="B85" s="281" t="s">
        <v>13</v>
      </c>
      <c r="C85" s="281"/>
      <c r="E85" s="48" t="s">
        <v>32</v>
      </c>
      <c r="F85" s="48" t="s">
        <v>186</v>
      </c>
    </row>
    <row r="86" spans="1:8" ht="30" x14ac:dyDescent="0.25">
      <c r="A86" s="4" t="s">
        <v>187</v>
      </c>
      <c r="B86" s="4" t="s">
        <v>188</v>
      </c>
      <c r="C86" s="4">
        <v>8</v>
      </c>
      <c r="E86" s="8" t="s">
        <v>233</v>
      </c>
      <c r="F86" s="4">
        <v>0.7</v>
      </c>
    </row>
    <row r="87" spans="1:8" ht="30" x14ac:dyDescent="0.25">
      <c r="A87" s="49" t="s">
        <v>189</v>
      </c>
      <c r="B87" s="282" t="s">
        <v>190</v>
      </c>
      <c r="C87" s="282"/>
      <c r="E87" s="10" t="s">
        <v>66</v>
      </c>
      <c r="F87" s="49">
        <v>0.1</v>
      </c>
    </row>
    <row r="88" spans="1:8" ht="30" x14ac:dyDescent="0.25">
      <c r="A88" s="4" t="s">
        <v>191</v>
      </c>
      <c r="B88" s="4" t="s">
        <v>192</v>
      </c>
      <c r="C88" s="4">
        <v>4</v>
      </c>
      <c r="E88" s="8" t="s">
        <v>67</v>
      </c>
      <c r="F88" s="4">
        <v>0.1</v>
      </c>
    </row>
    <row r="89" spans="1:8" ht="30" x14ac:dyDescent="0.25">
      <c r="E89" s="10" t="s">
        <v>68</v>
      </c>
      <c r="F89" s="49">
        <v>0.1</v>
      </c>
    </row>
    <row r="90" spans="1:8" x14ac:dyDescent="0.25">
      <c r="A90" s="3"/>
      <c r="B90" s="3"/>
      <c r="C90" s="3"/>
    </row>
    <row r="91" spans="1:8" x14ac:dyDescent="0.25">
      <c r="A91" s="3"/>
      <c r="B91" s="3"/>
      <c r="C91" s="3"/>
    </row>
    <row r="92" spans="1:8" ht="28.5" customHeight="1" x14ac:dyDescent="0.25">
      <c r="A92" s="281" t="s">
        <v>233</v>
      </c>
      <c r="B92" s="281"/>
      <c r="D92" s="281" t="s">
        <v>66</v>
      </c>
      <c r="E92" s="281"/>
      <c r="G92" s="281" t="s">
        <v>67</v>
      </c>
      <c r="H92" s="281"/>
    </row>
    <row r="93" spans="1:8" x14ac:dyDescent="0.25">
      <c r="A93" s="7" t="s">
        <v>95</v>
      </c>
      <c r="B93" s="7" t="s">
        <v>13</v>
      </c>
      <c r="D93" s="7" t="s">
        <v>95</v>
      </c>
      <c r="E93" s="7" t="s">
        <v>13</v>
      </c>
      <c r="G93" s="7" t="s">
        <v>95</v>
      </c>
      <c r="H93" s="7" t="s">
        <v>13</v>
      </c>
    </row>
    <row r="94" spans="1:8" x14ac:dyDescent="0.25">
      <c r="A94" s="49" t="s">
        <v>25</v>
      </c>
      <c r="B94" s="49">
        <v>1</v>
      </c>
      <c r="D94" s="49" t="s">
        <v>25</v>
      </c>
      <c r="E94" s="49">
        <v>1</v>
      </c>
      <c r="G94" s="49" t="s">
        <v>25</v>
      </c>
      <c r="H94" s="49">
        <v>1</v>
      </c>
    </row>
    <row r="95" spans="1:8" x14ac:dyDescent="0.25">
      <c r="A95" s="4" t="s">
        <v>16</v>
      </c>
      <c r="B95" s="4">
        <v>10</v>
      </c>
      <c r="D95" s="4" t="s">
        <v>16</v>
      </c>
      <c r="E95" s="4">
        <v>10</v>
      </c>
      <c r="G95" s="4" t="s">
        <v>16</v>
      </c>
      <c r="H95" s="4">
        <v>10</v>
      </c>
    </row>
    <row r="97" spans="1:6" x14ac:dyDescent="0.25">
      <c r="A97" s="281" t="s">
        <v>68</v>
      </c>
      <c r="B97" s="281"/>
    </row>
    <row r="98" spans="1:6" x14ac:dyDescent="0.25">
      <c r="A98" s="7" t="s">
        <v>95</v>
      </c>
      <c r="B98" s="7" t="s">
        <v>13</v>
      </c>
    </row>
    <row r="99" spans="1:6" x14ac:dyDescent="0.25">
      <c r="A99" s="49" t="s">
        <v>25</v>
      </c>
      <c r="B99" s="49">
        <v>1</v>
      </c>
    </row>
    <row r="100" spans="1:6" x14ac:dyDescent="0.25">
      <c r="A100" s="4" t="s">
        <v>16</v>
      </c>
      <c r="B100" s="4">
        <v>10</v>
      </c>
    </row>
    <row r="102" spans="1:6" ht="21" x14ac:dyDescent="0.35">
      <c r="A102" s="5" t="s">
        <v>234</v>
      </c>
    </row>
    <row r="104" spans="1:6" x14ac:dyDescent="0.25">
      <c r="A104" s="48" t="s">
        <v>185</v>
      </c>
      <c r="B104" s="281" t="s">
        <v>13</v>
      </c>
      <c r="C104" s="281"/>
      <c r="E104" s="48" t="s">
        <v>32</v>
      </c>
      <c r="F104" s="48" t="s">
        <v>186</v>
      </c>
    </row>
    <row r="105" spans="1:6" x14ac:dyDescent="0.25">
      <c r="A105" s="4" t="s">
        <v>187</v>
      </c>
      <c r="B105" s="4" t="s">
        <v>188</v>
      </c>
      <c r="C105" s="4">
        <v>8</v>
      </c>
      <c r="E105" s="8" t="s">
        <v>40</v>
      </c>
      <c r="F105" s="4">
        <v>0.15</v>
      </c>
    </row>
    <row r="106" spans="1:6" x14ac:dyDescent="0.25">
      <c r="A106" s="49" t="s">
        <v>189</v>
      </c>
      <c r="B106" s="282" t="s">
        <v>190</v>
      </c>
      <c r="C106" s="282"/>
      <c r="E106" s="10" t="s">
        <v>45</v>
      </c>
      <c r="F106" s="49">
        <v>0.2</v>
      </c>
    </row>
    <row r="107" spans="1:6" x14ac:dyDescent="0.25">
      <c r="A107" s="4" t="s">
        <v>191</v>
      </c>
      <c r="B107" s="4" t="s">
        <v>192</v>
      </c>
      <c r="C107" s="4">
        <v>4</v>
      </c>
      <c r="E107" s="8" t="s">
        <v>235</v>
      </c>
      <c r="F107" s="4">
        <v>0.25</v>
      </c>
    </row>
    <row r="108" spans="1:6" x14ac:dyDescent="0.25">
      <c r="E108" s="10" t="s">
        <v>64</v>
      </c>
      <c r="F108" s="49">
        <v>0.4</v>
      </c>
    </row>
    <row r="110" spans="1:6" x14ac:dyDescent="0.25">
      <c r="A110" s="281" t="s">
        <v>236</v>
      </c>
      <c r="B110" s="281"/>
    </row>
    <row r="111" spans="1:6" x14ac:dyDescent="0.25">
      <c r="A111" s="7" t="s">
        <v>95</v>
      </c>
      <c r="B111" s="7" t="s">
        <v>13</v>
      </c>
    </row>
    <row r="112" spans="1:6" x14ac:dyDescent="0.25">
      <c r="A112" s="10" t="s">
        <v>187</v>
      </c>
      <c r="B112" s="49">
        <v>10</v>
      </c>
    </row>
    <row r="113" spans="1:8" x14ac:dyDescent="0.25">
      <c r="A113" s="8" t="s">
        <v>189</v>
      </c>
      <c r="B113" s="4">
        <v>5</v>
      </c>
    </row>
    <row r="114" spans="1:8" x14ac:dyDescent="0.25">
      <c r="A114" s="10" t="s">
        <v>191</v>
      </c>
      <c r="B114" s="49">
        <v>1</v>
      </c>
    </row>
    <row r="117" spans="1:8" ht="21" x14ac:dyDescent="0.35">
      <c r="A117" s="5" t="s">
        <v>118</v>
      </c>
    </row>
    <row r="119" spans="1:8" x14ac:dyDescent="0.25">
      <c r="A119" s="48" t="s">
        <v>185</v>
      </c>
      <c r="B119" s="281" t="s">
        <v>13</v>
      </c>
      <c r="C119" s="281"/>
      <c r="E119" s="48" t="s">
        <v>32</v>
      </c>
      <c r="F119" s="48" t="s">
        <v>186</v>
      </c>
    </row>
    <row r="120" spans="1:8" ht="30" x14ac:dyDescent="0.25">
      <c r="A120" s="4" t="s">
        <v>187</v>
      </c>
      <c r="B120" s="4" t="s">
        <v>188</v>
      </c>
      <c r="C120" s="4">
        <v>8</v>
      </c>
      <c r="E120" s="8" t="s">
        <v>237</v>
      </c>
      <c r="F120" s="4">
        <v>0.25</v>
      </c>
    </row>
    <row r="121" spans="1:8" ht="30" x14ac:dyDescent="0.25">
      <c r="A121" s="49" t="s">
        <v>189</v>
      </c>
      <c r="B121" s="282" t="s">
        <v>190</v>
      </c>
      <c r="C121" s="282"/>
      <c r="E121" s="10" t="s">
        <v>238</v>
      </c>
      <c r="F121" s="49">
        <v>0.15</v>
      </c>
    </row>
    <row r="122" spans="1:8" x14ac:dyDescent="0.25">
      <c r="A122" s="4" t="s">
        <v>191</v>
      </c>
      <c r="B122" s="4" t="s">
        <v>192</v>
      </c>
      <c r="C122" s="4">
        <v>4</v>
      </c>
      <c r="E122" s="8" t="s">
        <v>74</v>
      </c>
      <c r="F122" s="4">
        <v>0.4</v>
      </c>
    </row>
    <row r="123" spans="1:8" x14ac:dyDescent="0.25">
      <c r="E123" s="10" t="s">
        <v>76</v>
      </c>
      <c r="F123" s="49">
        <v>0.2</v>
      </c>
    </row>
    <row r="125" spans="1:8" ht="29.25" customHeight="1" x14ac:dyDescent="0.25">
      <c r="A125" s="280" t="s">
        <v>237</v>
      </c>
      <c r="B125" s="280"/>
      <c r="D125" s="280" t="s">
        <v>238</v>
      </c>
      <c r="E125" s="280"/>
      <c r="G125" s="280" t="s">
        <v>239</v>
      </c>
      <c r="H125" s="280"/>
    </row>
    <row r="126" spans="1:8" x14ac:dyDescent="0.25">
      <c r="A126" s="7" t="s">
        <v>95</v>
      </c>
      <c r="B126" s="7" t="s">
        <v>13</v>
      </c>
      <c r="D126" s="7" t="s">
        <v>95</v>
      </c>
      <c r="E126" s="7" t="s">
        <v>13</v>
      </c>
      <c r="G126" s="7" t="s">
        <v>95</v>
      </c>
      <c r="H126" s="7" t="s">
        <v>13</v>
      </c>
    </row>
    <row r="127" spans="1:8" x14ac:dyDescent="0.25">
      <c r="A127" s="49" t="s">
        <v>25</v>
      </c>
      <c r="B127" s="49">
        <v>1</v>
      </c>
      <c r="D127" s="49" t="s">
        <v>25</v>
      </c>
      <c r="E127" s="49">
        <v>1</v>
      </c>
      <c r="G127" s="49" t="s">
        <v>240</v>
      </c>
      <c r="H127" s="49">
        <v>10</v>
      </c>
    </row>
    <row r="128" spans="1:8" x14ac:dyDescent="0.25">
      <c r="A128" s="4" t="s">
        <v>16</v>
      </c>
      <c r="B128" s="4">
        <v>10</v>
      </c>
      <c r="D128" s="4" t="s">
        <v>16</v>
      </c>
      <c r="E128" s="4">
        <v>10</v>
      </c>
      <c r="G128" s="4" t="s">
        <v>75</v>
      </c>
      <c r="H128" s="4">
        <v>8</v>
      </c>
    </row>
    <row r="129" spans="1:8" x14ac:dyDescent="0.25">
      <c r="G129" s="49" t="s">
        <v>241</v>
      </c>
      <c r="H129" s="49">
        <v>6</v>
      </c>
    </row>
    <row r="130" spans="1:8" x14ac:dyDescent="0.25">
      <c r="G130" s="4" t="s">
        <v>49</v>
      </c>
      <c r="H130" s="4">
        <v>4</v>
      </c>
    </row>
    <row r="131" spans="1:8" x14ac:dyDescent="0.25">
      <c r="A131" s="280" t="s">
        <v>76</v>
      </c>
      <c r="B131" s="280"/>
      <c r="G131" s="49" t="s">
        <v>242</v>
      </c>
      <c r="H131" s="49">
        <v>2</v>
      </c>
    </row>
    <row r="132" spans="1:8" x14ac:dyDescent="0.25">
      <c r="A132" s="7" t="s">
        <v>95</v>
      </c>
      <c r="B132" s="7" t="s">
        <v>13</v>
      </c>
    </row>
    <row r="133" spans="1:8" x14ac:dyDescent="0.25">
      <c r="A133" s="49" t="s">
        <v>240</v>
      </c>
      <c r="B133" s="49">
        <v>2</v>
      </c>
    </row>
    <row r="134" spans="1:8" x14ac:dyDescent="0.25">
      <c r="A134" s="4" t="s">
        <v>75</v>
      </c>
      <c r="B134" s="4">
        <v>4</v>
      </c>
    </row>
    <row r="135" spans="1:8" x14ac:dyDescent="0.25">
      <c r="A135" s="49" t="s">
        <v>241</v>
      </c>
      <c r="B135" s="49">
        <v>6</v>
      </c>
    </row>
    <row r="136" spans="1:8" x14ac:dyDescent="0.25">
      <c r="A136" s="4" t="s">
        <v>49</v>
      </c>
      <c r="B136" s="4">
        <v>8</v>
      </c>
    </row>
    <row r="137" spans="1:8" x14ac:dyDescent="0.25">
      <c r="A137" s="49" t="s">
        <v>242</v>
      </c>
      <c r="B137" s="49">
        <v>10</v>
      </c>
    </row>
    <row r="140" spans="1:8" ht="21" x14ac:dyDescent="0.35">
      <c r="A140" s="5" t="s">
        <v>243</v>
      </c>
    </row>
    <row r="144" spans="1:8" x14ac:dyDescent="0.25">
      <c r="A144" s="9" t="s">
        <v>108</v>
      </c>
      <c r="B144" s="9" t="s">
        <v>109</v>
      </c>
      <c r="D144" s="280" t="s">
        <v>116</v>
      </c>
      <c r="E144" s="280"/>
      <c r="F144" s="280"/>
      <c r="G144" s="280" t="s">
        <v>108</v>
      </c>
    </row>
    <row r="145" spans="1:7" x14ac:dyDescent="0.25">
      <c r="A145" s="49">
        <v>1</v>
      </c>
      <c r="B145" s="49" t="s">
        <v>244</v>
      </c>
      <c r="D145" s="7" t="s">
        <v>117</v>
      </c>
      <c r="E145" s="7" t="s">
        <v>245</v>
      </c>
      <c r="F145" s="7" t="s">
        <v>71</v>
      </c>
      <c r="G145" s="280"/>
    </row>
    <row r="146" spans="1:7" x14ac:dyDescent="0.25">
      <c r="A146" s="4">
        <v>2</v>
      </c>
      <c r="B146" s="4" t="s">
        <v>187</v>
      </c>
      <c r="D146" s="49" t="s">
        <v>187</v>
      </c>
      <c r="E146" s="49" t="s">
        <v>187</v>
      </c>
      <c r="F146" s="49" t="s">
        <v>187</v>
      </c>
      <c r="G146" s="49">
        <v>1</v>
      </c>
    </row>
    <row r="147" spans="1:7" x14ac:dyDescent="0.25">
      <c r="A147" s="49">
        <v>3</v>
      </c>
      <c r="B147" s="49" t="s">
        <v>189</v>
      </c>
      <c r="D147" s="4" t="s">
        <v>189</v>
      </c>
      <c r="E147" s="4" t="s">
        <v>187</v>
      </c>
      <c r="F147" s="4" t="s">
        <v>187</v>
      </c>
      <c r="G147" s="4">
        <v>2</v>
      </c>
    </row>
    <row r="148" spans="1:7" x14ac:dyDescent="0.25">
      <c r="A148" s="4">
        <v>4</v>
      </c>
      <c r="B148" s="4" t="s">
        <v>246</v>
      </c>
      <c r="D148" s="49" t="s">
        <v>187</v>
      </c>
      <c r="E148" s="49" t="s">
        <v>187</v>
      </c>
      <c r="F148" s="49" t="s">
        <v>189</v>
      </c>
      <c r="G148" s="49">
        <v>2</v>
      </c>
    </row>
    <row r="149" spans="1:7" x14ac:dyDescent="0.25">
      <c r="A149" s="49">
        <v>5</v>
      </c>
      <c r="B149" s="49" t="s">
        <v>191</v>
      </c>
      <c r="D149" s="4" t="s">
        <v>189</v>
      </c>
      <c r="E149" s="4" t="s">
        <v>187</v>
      </c>
      <c r="F149" s="4" t="s">
        <v>189</v>
      </c>
      <c r="G149" s="4">
        <v>2</v>
      </c>
    </row>
    <row r="150" spans="1:7" x14ac:dyDescent="0.25">
      <c r="A150" s="4">
        <v>6</v>
      </c>
      <c r="B150" s="4" t="s">
        <v>247</v>
      </c>
      <c r="D150" s="49" t="s">
        <v>187</v>
      </c>
      <c r="E150" s="49" t="s">
        <v>187</v>
      </c>
      <c r="F150" s="49" t="s">
        <v>191</v>
      </c>
      <c r="G150" s="49">
        <v>2</v>
      </c>
    </row>
    <row r="151" spans="1:7" x14ac:dyDescent="0.25">
      <c r="D151" s="4" t="s">
        <v>191</v>
      </c>
      <c r="E151" s="4" t="s">
        <v>187</v>
      </c>
      <c r="F151" s="4" t="s">
        <v>187</v>
      </c>
      <c r="G151" s="4">
        <v>2</v>
      </c>
    </row>
    <row r="152" spans="1:7" x14ac:dyDescent="0.25">
      <c r="D152" s="49" t="s">
        <v>189</v>
      </c>
      <c r="E152" s="49" t="s">
        <v>187</v>
      </c>
      <c r="F152" s="49" t="s">
        <v>191</v>
      </c>
      <c r="G152" s="49">
        <v>3</v>
      </c>
    </row>
    <row r="153" spans="1:7" x14ac:dyDescent="0.25">
      <c r="D153" s="4" t="s">
        <v>191</v>
      </c>
      <c r="E153" s="4" t="s">
        <v>187</v>
      </c>
      <c r="F153" s="4" t="s">
        <v>189</v>
      </c>
      <c r="G153" s="4">
        <v>3</v>
      </c>
    </row>
    <row r="154" spans="1:7" x14ac:dyDescent="0.25">
      <c r="D154" s="49" t="s">
        <v>187</v>
      </c>
      <c r="E154" s="49" t="s">
        <v>189</v>
      </c>
      <c r="F154" s="49" t="s">
        <v>187</v>
      </c>
      <c r="G154" s="49">
        <v>3</v>
      </c>
    </row>
    <row r="155" spans="1:7" x14ac:dyDescent="0.25">
      <c r="D155" s="4" t="s">
        <v>187</v>
      </c>
      <c r="E155" s="4" t="s">
        <v>189</v>
      </c>
      <c r="F155" s="4" t="s">
        <v>189</v>
      </c>
      <c r="G155" s="4">
        <v>3</v>
      </c>
    </row>
    <row r="156" spans="1:7" x14ac:dyDescent="0.25">
      <c r="D156" s="49" t="s">
        <v>189</v>
      </c>
      <c r="E156" s="49" t="s">
        <v>189</v>
      </c>
      <c r="F156" s="49" t="s">
        <v>187</v>
      </c>
      <c r="G156" s="49">
        <v>3</v>
      </c>
    </row>
    <row r="157" spans="1:7" x14ac:dyDescent="0.25">
      <c r="D157" s="4" t="s">
        <v>189</v>
      </c>
      <c r="E157" s="4" t="s">
        <v>189</v>
      </c>
      <c r="F157" s="4" t="s">
        <v>189</v>
      </c>
      <c r="G157" s="4">
        <v>3</v>
      </c>
    </row>
    <row r="158" spans="1:7" x14ac:dyDescent="0.25">
      <c r="D158" s="49" t="s">
        <v>191</v>
      </c>
      <c r="E158" s="49" t="s">
        <v>187</v>
      </c>
      <c r="F158" s="49" t="s">
        <v>191</v>
      </c>
      <c r="G158" s="49">
        <v>4</v>
      </c>
    </row>
    <row r="159" spans="1:7" x14ac:dyDescent="0.25">
      <c r="D159" s="4" t="s">
        <v>187</v>
      </c>
      <c r="E159" s="4" t="s">
        <v>189</v>
      </c>
      <c r="F159" s="4" t="s">
        <v>191</v>
      </c>
      <c r="G159" s="4">
        <v>4</v>
      </c>
    </row>
    <row r="160" spans="1:7" x14ac:dyDescent="0.25">
      <c r="D160" s="49" t="s">
        <v>189</v>
      </c>
      <c r="E160" s="49" t="s">
        <v>189</v>
      </c>
      <c r="F160" s="49" t="s">
        <v>191</v>
      </c>
      <c r="G160" s="49">
        <v>4</v>
      </c>
    </row>
    <row r="161" spans="4:7" x14ac:dyDescent="0.25">
      <c r="D161" s="4" t="s">
        <v>191</v>
      </c>
      <c r="E161" s="4" t="s">
        <v>189</v>
      </c>
      <c r="F161" s="4" t="s">
        <v>187</v>
      </c>
      <c r="G161" s="4">
        <v>4</v>
      </c>
    </row>
    <row r="162" spans="4:7" x14ac:dyDescent="0.25">
      <c r="D162" s="49" t="s">
        <v>191</v>
      </c>
      <c r="E162" s="49" t="s">
        <v>189</v>
      </c>
      <c r="F162" s="49" t="s">
        <v>189</v>
      </c>
      <c r="G162" s="49">
        <v>4</v>
      </c>
    </row>
    <row r="163" spans="4:7" x14ac:dyDescent="0.25">
      <c r="D163" s="4" t="s">
        <v>191</v>
      </c>
      <c r="E163" s="4" t="s">
        <v>189</v>
      </c>
      <c r="F163" s="4" t="s">
        <v>191</v>
      </c>
      <c r="G163" s="4">
        <v>4</v>
      </c>
    </row>
    <row r="164" spans="4:7" x14ac:dyDescent="0.25">
      <c r="D164" s="49" t="s">
        <v>187</v>
      </c>
      <c r="E164" s="49" t="s">
        <v>191</v>
      </c>
      <c r="F164" s="49" t="s">
        <v>187</v>
      </c>
      <c r="G164" s="49">
        <v>4</v>
      </c>
    </row>
    <row r="165" spans="4:7" x14ac:dyDescent="0.25">
      <c r="D165" s="4" t="s">
        <v>189</v>
      </c>
      <c r="E165" s="4" t="s">
        <v>191</v>
      </c>
      <c r="F165" s="4" t="s">
        <v>187</v>
      </c>
      <c r="G165" s="4">
        <v>5</v>
      </c>
    </row>
    <row r="166" spans="4:7" x14ac:dyDescent="0.25">
      <c r="D166" s="49" t="s">
        <v>187</v>
      </c>
      <c r="E166" s="49" t="s">
        <v>191</v>
      </c>
      <c r="F166" s="49" t="s">
        <v>189</v>
      </c>
      <c r="G166" s="49">
        <v>5</v>
      </c>
    </row>
    <row r="167" spans="4:7" x14ac:dyDescent="0.25">
      <c r="D167" s="4" t="s">
        <v>189</v>
      </c>
      <c r="E167" s="4" t="s">
        <v>191</v>
      </c>
      <c r="F167" s="4" t="s">
        <v>189</v>
      </c>
      <c r="G167" s="4">
        <v>5</v>
      </c>
    </row>
    <row r="168" spans="4:7" x14ac:dyDescent="0.25">
      <c r="D168" s="49" t="s">
        <v>191</v>
      </c>
      <c r="E168" s="49" t="s">
        <v>191</v>
      </c>
      <c r="F168" s="49" t="s">
        <v>187</v>
      </c>
      <c r="G168" s="49">
        <v>5</v>
      </c>
    </row>
    <row r="169" spans="4:7" x14ac:dyDescent="0.25">
      <c r="D169" s="4" t="s">
        <v>187</v>
      </c>
      <c r="E169" s="4" t="s">
        <v>191</v>
      </c>
      <c r="F169" s="4" t="s">
        <v>191</v>
      </c>
      <c r="G169" s="4">
        <v>5</v>
      </c>
    </row>
    <row r="170" spans="4:7" x14ac:dyDescent="0.25">
      <c r="D170" s="49" t="s">
        <v>189</v>
      </c>
      <c r="E170" s="49" t="s">
        <v>191</v>
      </c>
      <c r="F170" s="49" t="s">
        <v>191</v>
      </c>
      <c r="G170" s="49">
        <v>6</v>
      </c>
    </row>
    <row r="171" spans="4:7" x14ac:dyDescent="0.25">
      <c r="D171" s="4" t="s">
        <v>191</v>
      </c>
      <c r="E171" s="4" t="s">
        <v>191</v>
      </c>
      <c r="F171" s="4" t="s">
        <v>189</v>
      </c>
      <c r="G171" s="4">
        <v>6</v>
      </c>
    </row>
    <row r="172" spans="4:7" x14ac:dyDescent="0.25">
      <c r="D172" s="49" t="s">
        <v>191</v>
      </c>
      <c r="E172" s="49" t="s">
        <v>191</v>
      </c>
      <c r="F172" s="49" t="s">
        <v>191</v>
      </c>
      <c r="G172" s="49">
        <v>6</v>
      </c>
    </row>
    <row r="177" spans="1:8" ht="21" x14ac:dyDescent="0.35">
      <c r="A177" s="5" t="s">
        <v>248</v>
      </c>
    </row>
    <row r="179" spans="1:8" x14ac:dyDescent="0.25">
      <c r="A179" s="48" t="s">
        <v>185</v>
      </c>
      <c r="B179" s="281" t="s">
        <v>13</v>
      </c>
      <c r="C179" s="281"/>
      <c r="E179" s="48" t="s">
        <v>32</v>
      </c>
      <c r="F179" s="48" t="s">
        <v>186</v>
      </c>
    </row>
    <row r="180" spans="1:8" x14ac:dyDescent="0.25">
      <c r="A180" s="4" t="s">
        <v>187</v>
      </c>
      <c r="B180" s="4" t="s">
        <v>188</v>
      </c>
      <c r="C180" s="4">
        <v>8</v>
      </c>
      <c r="E180" s="8" t="s">
        <v>249</v>
      </c>
      <c r="F180" s="4">
        <v>0.4</v>
      </c>
    </row>
    <row r="181" spans="1:8" x14ac:dyDescent="0.25">
      <c r="A181" s="49" t="s">
        <v>189</v>
      </c>
      <c r="B181" s="282" t="s">
        <v>190</v>
      </c>
      <c r="C181" s="282"/>
      <c r="E181" s="10" t="s">
        <v>171</v>
      </c>
      <c r="F181" s="49">
        <v>0.05</v>
      </c>
    </row>
    <row r="182" spans="1:8" ht="30" x14ac:dyDescent="0.25">
      <c r="A182" s="4" t="s">
        <v>191</v>
      </c>
      <c r="B182" s="4" t="s">
        <v>192</v>
      </c>
      <c r="C182" s="4">
        <v>4</v>
      </c>
      <c r="E182" s="8" t="s">
        <v>250</v>
      </c>
      <c r="F182" s="4">
        <v>0.1</v>
      </c>
    </row>
    <row r="183" spans="1:8" ht="30" x14ac:dyDescent="0.25">
      <c r="E183" s="10" t="s">
        <v>251</v>
      </c>
      <c r="F183" s="49">
        <v>0.05</v>
      </c>
    </row>
    <row r="184" spans="1:8" x14ac:dyDescent="0.25">
      <c r="E184" s="8" t="s">
        <v>174</v>
      </c>
      <c r="F184" s="4">
        <v>0.1</v>
      </c>
    </row>
    <row r="185" spans="1:8" x14ac:dyDescent="0.25">
      <c r="E185" s="10" t="s">
        <v>167</v>
      </c>
      <c r="F185" s="49">
        <v>0.3</v>
      </c>
    </row>
    <row r="188" spans="1:8" ht="29.25" customHeight="1" x14ac:dyDescent="0.25">
      <c r="A188" s="280" t="s">
        <v>249</v>
      </c>
      <c r="B188" s="280"/>
      <c r="D188" s="280" t="s">
        <v>171</v>
      </c>
      <c r="E188" s="280"/>
      <c r="G188" s="280" t="s">
        <v>250</v>
      </c>
      <c r="H188" s="280"/>
    </row>
    <row r="189" spans="1:8" x14ac:dyDescent="0.25">
      <c r="A189" s="7" t="s">
        <v>95</v>
      </c>
      <c r="B189" s="7" t="s">
        <v>13</v>
      </c>
      <c r="D189" s="7" t="s">
        <v>95</v>
      </c>
      <c r="E189" s="7" t="s">
        <v>13</v>
      </c>
      <c r="G189" s="7" t="s">
        <v>95</v>
      </c>
      <c r="H189" s="7" t="s">
        <v>13</v>
      </c>
    </row>
    <row r="190" spans="1:8" x14ac:dyDescent="0.25">
      <c r="A190" s="61" t="s">
        <v>252</v>
      </c>
      <c r="B190" s="49">
        <v>10</v>
      </c>
      <c r="D190" s="49" t="s">
        <v>253</v>
      </c>
      <c r="E190" s="49">
        <v>10</v>
      </c>
      <c r="G190" s="61">
        <v>1</v>
      </c>
      <c r="H190" s="49">
        <v>10</v>
      </c>
    </row>
    <row r="191" spans="1:8" x14ac:dyDescent="0.25">
      <c r="A191" s="62" t="s">
        <v>254</v>
      </c>
      <c r="B191" s="4">
        <v>5</v>
      </c>
      <c r="D191" s="4" t="s">
        <v>255</v>
      </c>
      <c r="E191" s="4">
        <v>5</v>
      </c>
      <c r="G191" s="62">
        <v>2</v>
      </c>
      <c r="H191" s="4">
        <v>8</v>
      </c>
    </row>
    <row r="192" spans="1:8" x14ac:dyDescent="0.25">
      <c r="A192" s="61" t="s">
        <v>256</v>
      </c>
      <c r="B192" s="49">
        <v>3</v>
      </c>
      <c r="D192" s="49" t="s">
        <v>257</v>
      </c>
      <c r="E192" s="49">
        <v>1</v>
      </c>
      <c r="G192" s="61">
        <v>3</v>
      </c>
      <c r="H192" s="49">
        <v>6</v>
      </c>
    </row>
    <row r="193" spans="1:8" x14ac:dyDescent="0.25">
      <c r="A193" s="62"/>
      <c r="B193" s="4"/>
      <c r="G193" s="62" t="s">
        <v>258</v>
      </c>
      <c r="H193" s="4">
        <v>4</v>
      </c>
    </row>
    <row r="194" spans="1:8" x14ac:dyDescent="0.25">
      <c r="A194" s="61"/>
      <c r="B194" s="49"/>
      <c r="G194" s="61"/>
      <c r="H194" s="49"/>
    </row>
    <row r="197" spans="1:8" x14ac:dyDescent="0.25">
      <c r="A197" s="280" t="s">
        <v>251</v>
      </c>
      <c r="B197" s="280"/>
      <c r="D197" s="280" t="s">
        <v>174</v>
      </c>
      <c r="E197" s="280"/>
      <c r="G197" s="280" t="s">
        <v>167</v>
      </c>
      <c r="H197" s="280"/>
    </row>
    <row r="198" spans="1:8" x14ac:dyDescent="0.25">
      <c r="A198" s="7" t="s">
        <v>95</v>
      </c>
      <c r="B198" s="7" t="s">
        <v>13</v>
      </c>
      <c r="D198" s="7" t="s">
        <v>95</v>
      </c>
      <c r="E198" s="7" t="s">
        <v>13</v>
      </c>
      <c r="G198" s="7" t="s">
        <v>95</v>
      </c>
      <c r="H198" s="7" t="s">
        <v>13</v>
      </c>
    </row>
    <row r="199" spans="1:8" x14ac:dyDescent="0.25">
      <c r="A199" s="61">
        <v>1</v>
      </c>
      <c r="B199" s="49">
        <v>10</v>
      </c>
      <c r="D199" s="63">
        <v>0.9</v>
      </c>
      <c r="E199" s="49">
        <v>10</v>
      </c>
      <c r="G199" s="61">
        <v>1</v>
      </c>
      <c r="H199" s="49">
        <v>10</v>
      </c>
    </row>
    <row r="200" spans="1:8" x14ac:dyDescent="0.25">
      <c r="A200" s="62">
        <v>2</v>
      </c>
      <c r="B200" s="4">
        <v>8</v>
      </c>
      <c r="D200" s="64">
        <v>0.75</v>
      </c>
      <c r="E200" s="4">
        <v>8</v>
      </c>
      <c r="G200" s="62">
        <v>2</v>
      </c>
      <c r="H200" s="4">
        <v>8</v>
      </c>
    </row>
    <row r="201" spans="1:8" x14ac:dyDescent="0.25">
      <c r="A201" s="61">
        <v>3</v>
      </c>
      <c r="B201" s="49">
        <v>6</v>
      </c>
      <c r="D201" s="63">
        <v>0.6</v>
      </c>
      <c r="E201" s="49">
        <v>6</v>
      </c>
      <c r="G201" s="61">
        <v>3</v>
      </c>
      <c r="H201" s="49">
        <v>6</v>
      </c>
    </row>
    <row r="202" spans="1:8" x14ac:dyDescent="0.25">
      <c r="A202" s="62" t="s">
        <v>258</v>
      </c>
      <c r="B202" s="4">
        <v>4</v>
      </c>
      <c r="D202" s="64">
        <v>0.45</v>
      </c>
      <c r="E202" s="4">
        <v>4</v>
      </c>
      <c r="G202" s="62" t="s">
        <v>258</v>
      </c>
      <c r="H202" s="4">
        <v>4</v>
      </c>
    </row>
    <row r="203" spans="1:8" x14ac:dyDescent="0.25">
      <c r="A203" s="63">
        <v>0.3</v>
      </c>
      <c r="B203" s="49">
        <v>2</v>
      </c>
      <c r="D203" s="63">
        <v>0.3</v>
      </c>
      <c r="E203" s="49">
        <v>2</v>
      </c>
      <c r="G203" s="63">
        <v>0.3</v>
      </c>
      <c r="H203" s="49">
        <v>2</v>
      </c>
    </row>
  </sheetData>
  <mergeCells count="48">
    <mergeCell ref="B3:C3"/>
    <mergeCell ref="B5:C5"/>
    <mergeCell ref="A10:B10"/>
    <mergeCell ref="D10:E10"/>
    <mergeCell ref="B25:C25"/>
    <mergeCell ref="B85:C85"/>
    <mergeCell ref="B87:C87"/>
    <mergeCell ref="G10:H10"/>
    <mergeCell ref="B23:C23"/>
    <mergeCell ref="B42:C42"/>
    <mergeCell ref="A30:B30"/>
    <mergeCell ref="D30:E30"/>
    <mergeCell ref="G30:H30"/>
    <mergeCell ref="B40:C40"/>
    <mergeCell ref="G16:H16"/>
    <mergeCell ref="A66:B66"/>
    <mergeCell ref="D66:E66"/>
    <mergeCell ref="G66:H66"/>
    <mergeCell ref="A75:B75"/>
    <mergeCell ref="D75:E75"/>
    <mergeCell ref="A47:B47"/>
    <mergeCell ref="D47:E47"/>
    <mergeCell ref="G47:H47"/>
    <mergeCell ref="B58:C58"/>
    <mergeCell ref="B60:C60"/>
    <mergeCell ref="A197:B197"/>
    <mergeCell ref="D197:E197"/>
    <mergeCell ref="G197:H197"/>
    <mergeCell ref="B121:C121"/>
    <mergeCell ref="A125:B125"/>
    <mergeCell ref="D125:E125"/>
    <mergeCell ref="G125:H125"/>
    <mergeCell ref="D144:F144"/>
    <mergeCell ref="G144:G145"/>
    <mergeCell ref="B179:C179"/>
    <mergeCell ref="B181:C181"/>
    <mergeCell ref="A188:B188"/>
    <mergeCell ref="D188:E188"/>
    <mergeCell ref="G188:H188"/>
    <mergeCell ref="A97:B97"/>
    <mergeCell ref="A131:B131"/>
    <mergeCell ref="A92:B92"/>
    <mergeCell ref="D92:E92"/>
    <mergeCell ref="G92:H92"/>
    <mergeCell ref="B119:C119"/>
    <mergeCell ref="B104:C104"/>
    <mergeCell ref="B106:C106"/>
    <mergeCell ref="A110:B11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01831-A65E-488F-9720-57C6DF5045F0}">
  <sheetPr codeName="Hoja8">
    <tabColor theme="6"/>
  </sheetPr>
  <dimension ref="A1:Z10"/>
  <sheetViews>
    <sheetView zoomScale="80" zoomScaleNormal="80" workbookViewId="0">
      <pane xSplit="1" ySplit="1" topLeftCell="Q6" activePane="bottomRight" state="frozen"/>
      <selection pane="topRight" activeCell="B128" sqref="B128"/>
      <selection pane="bottomLeft" activeCell="B128" sqref="B128"/>
      <selection pane="bottomRight" activeCell="B128" sqref="B128"/>
    </sheetView>
  </sheetViews>
  <sheetFormatPr baseColWidth="10" defaultColWidth="11.42578125" defaultRowHeight="15" x14ac:dyDescent="0.25"/>
  <cols>
    <col min="1" max="1" width="28.7109375" style="11" customWidth="1"/>
    <col min="2" max="2" width="70.28515625" style="11" customWidth="1"/>
    <col min="3" max="3" width="11.42578125" style="11"/>
    <col min="4" max="4" width="62.42578125" style="11" customWidth="1"/>
    <col min="5" max="5" width="14.7109375" style="11" customWidth="1"/>
    <col min="6" max="6" width="86.7109375" style="11" customWidth="1"/>
    <col min="7" max="7" width="11.42578125" style="11"/>
    <col min="8" max="8" width="101.7109375" style="11" customWidth="1"/>
    <col min="9" max="9" width="19.7109375" style="11" hidden="1" customWidth="1"/>
    <col min="10" max="10" width="46.7109375" style="11" hidden="1" customWidth="1"/>
    <col min="11" max="11" width="11.42578125" style="11"/>
    <col min="12" max="13" width="46.7109375" style="11" customWidth="1"/>
    <col min="14" max="15" width="11.42578125" style="39"/>
    <col min="16" max="16" width="25" style="39" customWidth="1"/>
    <col min="17" max="19" width="26.28515625" style="11" customWidth="1"/>
    <col min="20" max="26" width="46.7109375" style="11" customWidth="1"/>
    <col min="27" max="16384" width="11.42578125" style="11"/>
  </cols>
  <sheetData>
    <row r="1" spans="1:26" ht="62.25" customHeight="1" x14ac:dyDescent="0.25">
      <c r="A1" s="11" t="s">
        <v>259</v>
      </c>
      <c r="B1" s="11" t="s">
        <v>94</v>
      </c>
      <c r="C1" s="11" t="s">
        <v>128</v>
      </c>
      <c r="D1" s="11" t="s">
        <v>260</v>
      </c>
      <c r="E1" s="11" t="s">
        <v>130</v>
      </c>
      <c r="F1" s="11" t="s">
        <v>260</v>
      </c>
      <c r="G1" s="11" t="s">
        <v>132</v>
      </c>
      <c r="H1" s="11" t="s">
        <v>260</v>
      </c>
      <c r="I1" s="11" t="s">
        <v>134</v>
      </c>
      <c r="J1" s="11" t="s">
        <v>260</v>
      </c>
      <c r="K1" s="11" t="s">
        <v>136</v>
      </c>
      <c r="L1" s="11" t="s">
        <v>260</v>
      </c>
      <c r="M1" s="11" t="s">
        <v>261</v>
      </c>
      <c r="N1" s="283" t="s">
        <v>138</v>
      </c>
      <c r="O1" s="283"/>
      <c r="P1" s="11" t="s">
        <v>140</v>
      </c>
      <c r="Q1" s="11" t="s">
        <v>262</v>
      </c>
      <c r="R1" s="11" t="s">
        <v>263</v>
      </c>
      <c r="S1" s="11" t="s">
        <v>264</v>
      </c>
      <c r="T1" s="11" t="s">
        <v>265</v>
      </c>
      <c r="U1" s="11" t="s">
        <v>266</v>
      </c>
      <c r="V1" s="11" t="s">
        <v>267</v>
      </c>
      <c r="W1" s="11" t="s">
        <v>268</v>
      </c>
      <c r="X1" s="11" t="s">
        <v>269</v>
      </c>
      <c r="Y1" s="11" t="s">
        <v>270</v>
      </c>
      <c r="Z1" s="11" t="s">
        <v>271</v>
      </c>
    </row>
    <row r="2" spans="1:26" ht="72" customHeight="1" x14ac:dyDescent="0.25">
      <c r="N2" s="11" t="s">
        <v>272</v>
      </c>
      <c r="O2" s="11" t="s">
        <v>273</v>
      </c>
      <c r="P2" s="11"/>
    </row>
    <row r="3" spans="1:26" ht="120.75" customHeight="1" x14ac:dyDescent="0.25">
      <c r="A3" s="11" t="s">
        <v>274</v>
      </c>
      <c r="B3" s="11" t="s">
        <v>275</v>
      </c>
      <c r="C3" s="11" t="s">
        <v>276</v>
      </c>
      <c r="D3" s="11" t="str">
        <f>IF(Cálculo!$B$127&lt;1000,_xlfn.CONCAT("Dado que el proyecto busca dar tratamiento a aproximadamente a ",ROUNDDOWN(Cálculo!$B$127,0)," toneladas anuales de residuos orgánicos, para una implementación adecuada de la tecnología se recomienda abarcar un mercado mayor, incluyendo otros municipios dentro del proyecto. ",IF('Datos de entrada'!$B$11="No","Se recomienda considerar los residuos orgánicos provenientes de plazas de mercado y centrales de abasto para alcanzar la éscala óptima de la tecnología. ",""),IF('Datos de entrada'!$B$13="No","Además, se recomienda considerar los residuos orgánicos provenientes de corte de césped y poda de árboles para alcanzar la éscala óptima de la tecnología","")),IF(Cálculo!$B$127&gt;200000,_xlfn.CONCAT("Dado que el proyecto busca dar tratamiento a aproximadamente a ",ROUNDDOWN(Cálculo!$B$127,0)," toneladas anuales de residuos orgánicos, se recomienda analizar la implementación de una mezcla de tecnologías y plantas de tratamiento en diferentes localizaciones para cubrir la demanda",". Todas las estimaciones realizadas parten de la capacidad de una planta de tratamiento de 200.000 toneladas al año"),_xlfn.CONCAT("Dado que el proyecto busca dar tratamiento a aproximadamente a ",ROUNDDOWN(Cálculo!$B$127,0)," toneladas anuales de residuos orgánicos, cuenta con una escala adecuada para implementar la tecnología")))</f>
        <v xml:space="preserve">Dado que el proyecto busca dar tratamiento a aproximadamente a 0 toneladas anuales de residuos orgánicos, para una implementación adecuada de la tecnología se recomienda abarcar un mercado mayor, incluyendo otros municipios dentro del proyecto. </v>
      </c>
      <c r="E3" s="11" t="s">
        <v>277</v>
      </c>
      <c r="F3" s="11" t="str">
        <f>IF(Cálculo!$C$136=Ponderaciones!$A$24,"Esta tecnología no requiere personal muy tecnificado ni equipos con especificaciones técnicas elevadas."&amp;"Su principal barrera se presenta por la incorrecta separación en la fuente de los residuos por parte del suscriptor."&amp;"De acuerdo con la información suministrada la población atendida cuenta con buenas prácticas en este aspecto."&amp;" Igualmente es recomendable desarrollar campañas educativas que mantengan a los habitantes enterados sobre las buenas prácticas en gestión de residuos sólidos",IF(Cálculo!$C$136=Ponderaciones!$A$25,"Esta tecnología no requiere personal muy tecnificado ni equipos con especificaciones técnicas elevadas."&amp;"Su principal barrera se presenta por la incorrecta separación en la fuente de los residuos por parte del suscriptor."&amp;"Dados las salidas obtenidas por el modelo en este aspecto se recomienda desarrollar campañas educativas que mantengan a los habitantes"&amp;" enterados sobre las buenas prácticas en gestión de residuos sólidos enfocados en la separación en la fuente de residuos sólidos orgánicos y en economía circular","Esta tecnología no requiere personal muy tecnificado ni equipos con especificaciones técnicas elevadas."&amp;"Su principal barrera se presenta por la incorrecta separación en la fuente de los residuos por parte del suscriptor."&amp;" Dadas las salidas obtenidas por el modelo en este aspecto antes de implementar la tecnología es urgente desarrollar campañas"&amp;" enfocadas en la separación en la fuente de residuos orgánicos la economía circular y los impactos negativos a la salud humana y del ambiente por una inadecuada gestión de residuos sólidos"))</f>
        <v>Esta tecnología no requiere personal muy tecnificado ni equipos con especificaciones técnicas elevadas.Su principal barrera se presenta por la incorrecta separación en la fuente de los residuos por parte del suscriptor. Dadas las salidas obtenidas por el modelo en este aspecto antes de implementar la tecnología es urgente desarrollar campañas enfocadas en la separación en la fuente de residuos orgánicos la economía circular y los impactos negativos a la salud humana y del ambiente por una inadecuada gestión de residuos sólidos</v>
      </c>
      <c r="G3" s="11" t="s">
        <v>278</v>
      </c>
      <c r="H3" s="11" t="str">
        <f>IF(OR('Datos de entrada'!$B$11="No",'Datos de entrada'!$B$13="No"),IF(Cálculo!$C$136=Ponderaciones!$A$24,"Dada que se cuenta con una separación en la fuente adecuada, los RSO entregados serán homogéneos disminuyendo"&amp;" los costos de su adecuación para el tratamiento."&amp;" Además, se recomienda incluir los residuos provenientes de poda de árboles o corte de cesped,"&amp;" o los de plaas de mercado y centrales de abasto",IF(Cálculo!$C$136=Ponderaciones!$A$25,"Dada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tratamiento.","Antes de considerar desarrollar un proyecto de tratamiento de residuos sólidos, es necesario elevar los niveles de separación en la fuente para garantizar su éxito.")), IF(Cálculo!$C$136=Ponderaciones!$A$24,"Dada que se cuenta con una separación en la fuente adecuada, los RSO entregados serán homogéneos disminuyendo"&amp;" los costos de su adecuación para el tratamiento.",IF(Cálculo!$C$136=Ponderaciones!$A$25,"Dada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tratamiento.","Antes de considerar desarrollar un proyecto de tratamiento de residuos sólidos, es necesario elevar los niveles de separación en la fuente para garantizar su éxito.")))</f>
        <v>Antes de considerar desarrollar un proyecto de tratamiento de residuos sólidos, es necesario elevar los niveles de separación en la fuente para garantizar su éxito.</v>
      </c>
      <c r="I3" s="11" t="s">
        <v>279</v>
      </c>
      <c r="K3" s="11" t="s">
        <v>280</v>
      </c>
      <c r="L3" s="11" t="str">
        <f>"Implemente prácticas adecuadas en la operación del sistema permite evitar el impacto ambiental ocasionado."&amp;" Se recomienda que revise literatura y otras experiencias sobre cómo monitorear, entre otras variables, el tamaño de las partículas, el contenido de carbono y nitrógeno, el contenido de humedad, la temperatura, el pH y la presencia de patógenos."&amp;"  Algunas Corporaciones Autónomas Regionales han expedido manuales al respecto, así como entidades tales como la UAESP de Bogotá y organizaciones como ACODAL."&amp;IF(X3&gt;=20000," El tamaño de la planta requiere licenciamiento ambiental, por lo tanto debe elaborar el plan de manejo ambiental y adelantar los tramites para obtenerla.","")</f>
        <v>Implemente prácticas adecuadas en la operación del sistema permite evitar el impacto ambiental ocasionado. Se recomienda que revise literatura y otras experiencias sobre cómo monitorear, entre otras variables, el tamaño de las partículas, el contenido de carbono y nitrógeno, el contenido de humedad, la temperatura, el pH y la presencia de patógenos.  Algunas Corporaciones Autónomas Regionales han expedido manuales al respecto, así como entidades tales como la UAESP de Bogotá y organizaciones como ACODAL. El tamaño de la planta requiere licenciamiento ambiental, por lo tanto debe elaborar el plan de manejo ambiental y adelantar los tramites para obtenerla.</v>
      </c>
      <c r="M3" s="11" t="s">
        <v>281</v>
      </c>
      <c r="N3" s="39">
        <v>0.25</v>
      </c>
      <c r="O3" s="39">
        <v>0.38</v>
      </c>
      <c r="P3" s="39">
        <v>0.42</v>
      </c>
      <c r="Q3" s="11">
        <v>0.6</v>
      </c>
      <c r="R3" s="11">
        <v>60</v>
      </c>
      <c r="T3" s="11" t="str">
        <f>"Tenga presente que la tecnologia de Compostaje con volteo manual requiere mayor área frente a la tecnología con aireación forzada. Para una planta de "&amp;X3&amp;" toneladas por año se requieren de "&amp;V3&amp;" hectaréas frente a un área de "&amp;V4&amp;" hectareas para la segunda"&amp;"""Esta tecnología presenta menor resistencia a los cambios metereológicos."</f>
        <v>Tenga presente que la tecnologia de Compostaje con volteo manual requiere mayor área frente a la tecnología con aireación forzada. Para una planta de 200000 toneladas por año se requieren de 16 hectaréas frente a un área de 13 hectareas para la segunda"Esta tecnología presenta menor resistencia a los cambios metereológicos.</v>
      </c>
      <c r="U3" s="11" t="e">
        <f>+IF(Valoración!H3="No adecuado","La humedad existente no es suficiente, se debe aumentar su contenido para lo cual deberá evaluar su costo. ","")</f>
        <v>#DIV/0!</v>
      </c>
      <c r="V3" s="168">
        <f>Valoración!C3*0.8/10000</f>
        <v>16</v>
      </c>
      <c r="W3" s="11">
        <f>('Datos de entrada'!B12+'Datos de entrada'!B14)/Valoración!C3*0.6</f>
        <v>0</v>
      </c>
      <c r="X3" s="180">
        <f>ROUND(IF(AND(Cálculo!B127&lt;=Valoración!C3,Cálculo!B127&gt;=Valoración!B3),Cálculo!B127,Valoración!C3),-3)</f>
        <v>200000</v>
      </c>
      <c r="Y3" s="180">
        <f>+IF(AND(Cálculo!$C$128&lt;=Valoración!C3,Cálculo!$B$128&gt;=Valoración!B3),Cálculo!$C$128,Valoración!C3)</f>
        <v>200000</v>
      </c>
      <c r="Z3" s="180">
        <f>+IF(Cálculo!$B$127&gt;=Valoración!C3,Valoración!C3*(1-N3),Cálculo!$B$127*(1-N3))</f>
        <v>0</v>
      </c>
    </row>
    <row r="4" spans="1:26" ht="210" x14ac:dyDescent="0.25">
      <c r="A4" s="11" t="s">
        <v>282</v>
      </c>
      <c r="B4" s="11" t="s">
        <v>283</v>
      </c>
      <c r="C4" s="11" t="s">
        <v>284</v>
      </c>
      <c r="D4" s="11" t="str">
        <f>IF(Cálculo!$B$127&lt;1000,_xlfn.CONCAT("Dado que el proyecto busca dar tratamiento a aproximadamente a ",ROUNDDOWN(Cálculo!$B$127,0)," toneladas anuales de residuos orgánicos, para una implementación adecuada de la tecnología se recomienda abarcar un mercado mayor, incluyendo otros municipios dentro del proyecto. ",IF('Datos de entrada'!$B$11="No","Se recomienda considerar los residuos orgánicos provenientes de plazas de mercado y centrales de abasto para alcanzar la éscala óptima de la tecnología. ",""),IF('Datos de entrada'!$B$13="No","Además, se recomienda considerar los residuos orgánicos provenientes de corte de césped y poda de árboles para alcanzar la éscala óptima de la tecnología","")),IF(Cálculo!$B$127&gt;200000,_xlfn.CONCAT("Dado que el proyecto busca dar tratamiento a aproximadamente a ",ROUNDDOWN(Cálculo!$B$127,0)," toneladas anuales de residuos orgánicos, se recomienda analizar la implementación de una mezcla de tecnologías y plantas de tratamiento en diferentes localizaciones para cubrir la demanda",". Todas las estimaciones realizadas parten de la capacidad de una planta de tratamiento de 200.000 toneladas al año"),_xlfn.CONCAT("Dado que el proyecto busca dar tratamiento a aproximadamente a ",ROUNDDOWN(Cálculo!$B$127,0)," toneladas anuales de residuos orgánicos, cuenta con una escala adecuada para implementar la tecnología")))</f>
        <v xml:space="preserve">Dado que el proyecto busca dar tratamiento a aproximadamente a 0 toneladas anuales de residuos orgánicos, para una implementación adecuada de la tecnología se recomienda abarcar un mercado mayor, incluyendo otros municipios dentro del proyecto. </v>
      </c>
      <c r="E4" s="11" t="s">
        <v>277</v>
      </c>
      <c r="F4" s="11" t="str">
        <f>IF(Cálculo!$C$136=Ponderaciones!$A$24,"Esta tecnología no requiere personal muy tecnificado ni equipos con especificaciones técnicas elevadas."&amp;"Su principal barrera se presenta por la incorrecta separación en la fuente de los residuos por parte del suscriptor."&amp;"De acuerdo con la información suministrada la población atendida cuenta con buenas prácticas en este aspecto."&amp;" Igualmente es recomendable desarrollar campañas educativas que mantengan a los habitantes enterados sobre las buenas prácticas en gestión de residuos sólidos",IF(Cálculo!$C$136=Ponderaciones!$A$25,"Esta tecnología no requiere personal muy tecnificado ni equipos con especificaciones técnicas elevadas."&amp;"Su principal barrera se presenta por la incorrecta separación en la fuente de los residuos por parte del suscriptor."&amp;"Dados las salidas obtenidas por el modelo en este aspecto se recomienda desarrollar campañas educativas que mantengan a los habitantes"&amp;" enterados sobre las buenas prácticas en gestión de residuos sólidos enfocados en la separación en la fuente de residuos sólidos orgánicos y en economía circular","Esta tecnología no requiere personal muy tecnificado ni equipos con especificaciones técnicas elevadas."&amp;"Su principal barrera se presenta por la incorrecta separación en la fuente de los residuos por parte del suscriptor."&amp;" Dadas las salidas obtenidas por el modelo en este aspecto antes de implementar la tecnología es urgente desarrollar campañas"&amp;" enfocadas en la separación en la fuente de residuos orgánicos la economía circular y los impactos negativos a la salud humana y del ambiente por una inadecuada gestión de residuos sólidos"))</f>
        <v>Esta tecnología no requiere personal muy tecnificado ni equipos con especificaciones técnicas elevadas.Su principal barrera se presenta por la incorrecta separación en la fuente de los residuos por parte del suscriptor. Dadas las salidas obtenidas por el modelo en este aspecto antes de implementar la tecnología es urgente desarrollar campañas enfocadas en la separación en la fuente de residuos orgánicos la economía circular y los impactos negativos a la salud humana y del ambiente por una inadecuada gestión de residuos sólidos</v>
      </c>
      <c r="G4" s="11" t="s">
        <v>278</v>
      </c>
      <c r="H4" s="11" t="str">
        <f>IF(OR('Datos de entrada'!$B$11="No",'Datos de entrada'!$B$13="No"),IF(Cálculo!$C$136=Ponderaciones!$A$24,"Dada que se cuenta con una separación en la fuente adecuada, los RSO entregados serán homogéneos disminuyendo"&amp;" los costos de su adecuación para el tratamiento."&amp;" Además, se recomienda incluir los residuos provenientes de poda de árboles o corte de cesped,"&amp;" o los de plaas de mercado y centrales de abasto",IF(Cálculo!$C$136=Ponderaciones!$A$25,"Dada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tratamiento.","Antes de considerar desarrollar un proyecto de tratamiento de residuos sólidos, es necesario elevar los niveles de separación en la fuente para garantizar su éxito.")), IF(Cálculo!$C$136=Ponderaciones!$A$24,"Dada que se cuenta con una separación en la fuente adecuada, los RSO entregados serán homogéneos disminuyendo"&amp;" los costos de su adecuación para el tratamiento.",IF(Cálculo!$C$136=Ponderaciones!$A$25,"Dada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tratamiento.","Antes de considerar desarrollar un proyecto de tratamiento de residuos sólidos, es necesario elevar los niveles de separación en la fuente para garantizar su éxito.")))</f>
        <v>Antes de considerar desarrollar un proyecto de tratamiento de residuos sólidos, es necesario elevar los niveles de separación en la fuente para garantizar su éxito.</v>
      </c>
      <c r="I4" s="11" t="s">
        <v>279</v>
      </c>
      <c r="K4" s="11" t="s">
        <v>280</v>
      </c>
      <c r="L4" s="11" t="str">
        <f>"Implemente prácticas adecuadas en la operación del sistema permite evitar el impacto ambiental ocasionado."&amp;" Se recomienda que revise literatura y otras experiencias sobre cómo monitorear, entre otras variables, el tamaño de las partículas, el contenido de carbono y nitrógeno, el contenido de humedad, la temperatura, el pH y la presencia de patógenos."&amp;"  Algunas Corporaciones Autónomas Regionales han expedido manuales al respecto, así como entidades tales como la UAESP de Bogotá y organizaciones como ACODAL."&amp;IF(X4&gt;=20000," El tamaño de la planta requiere licenciamiento ambiental, por lo tanto debe elaborar el plan de manejo ambiental y adelantar los tramites para obtenerla.","")</f>
        <v>Implemente prácticas adecuadas en la operación del sistema permite evitar el impacto ambiental ocasionado. Se recomienda que revise literatura y otras experiencias sobre cómo monitorear, entre otras variables, el tamaño de las partículas, el contenido de carbono y nitrógeno, el contenido de humedad, la temperatura, el pH y la presencia de patógenos.  Algunas Corporaciones Autónomas Regionales han expedido manuales al respecto, así como entidades tales como la UAESP de Bogotá y organizaciones como ACODAL. El tamaño de la planta requiere licenciamiento ambiental, por lo tanto debe elaborar el plan de manejo ambiental y adelantar los tramites para obtenerla.</v>
      </c>
      <c r="M4" s="11" t="str">
        <f>+M3</f>
        <v xml:space="preserve"> Si usted desea hacer una estimación de toneladas equivalentes de CO2 puede remitirse a la herramienta de cálculo de gases de efecto invernadero (GEI) en el manejo de residuos sólidos (MRS) en este link https://www.bivica.org/file/view/id/1081 y al https://www.ifeu.de/en/project/tool-for-calculating-greenhouse-gases-ghg-in-solid-waste-management-swm/</v>
      </c>
      <c r="N4" s="39">
        <v>0.28000000000000003</v>
      </c>
      <c r="O4" s="39">
        <v>0.41</v>
      </c>
      <c r="P4" s="39">
        <v>0.4</v>
      </c>
      <c r="Q4" s="11">
        <v>0.5</v>
      </c>
      <c r="R4" s="11">
        <v>60</v>
      </c>
      <c r="T4" s="11" t="str">
        <f>"Tenga presente que la tecnologia de Compostaje con aireación forzada requiere menos áreas frente a la tecnología con volteo manual. Para una planta de "&amp;X4&amp;" toneladas por año se requieren de "&amp;V4&amp;" hectaréas frente a un área de "&amp;V3&amp;" hectareas para la segunda."&amp;" Esta tecnología presenta mayor resistencia a los cambios metereológicos, sin embargo, demanda mayor monitoreo."</f>
        <v>Tenga presente que la tecnologia de Compostaje con aireación forzada requiere menos áreas frente a la tecnología con volteo manual. Para una planta de 200000 toneladas por año se requieren de 13 hectaréas frente a un área de 16 hectareas para la segunda. Esta tecnología presenta mayor resistencia a los cambios metereológicos, sin embargo, demanda mayor monitoreo.</v>
      </c>
      <c r="U4" s="11" t="e">
        <f>+IF(Valoración!H4="No adecuado","La humedad existente no es suficiente, se debe aumentar su contenido para lo cual deberá evaluar su costo. ","")</f>
        <v>#DIV/0!</v>
      </c>
      <c r="V4" s="168">
        <f>Valoración!C4*0.65/10000</f>
        <v>13</v>
      </c>
      <c r="W4" s="11">
        <f>('Datos de entrada'!B12+'Datos de entrada'!B14)/Valoración!C4*0.38</f>
        <v>0</v>
      </c>
      <c r="X4" s="180">
        <f>ROUND(IF(AND(Cálculo!$B$127&lt;=Valoración!C4,Cálculo!$B$127&gt;=Valoración!B4),Cálculo!$B$127,Valoración!C4),-3)</f>
        <v>200000</v>
      </c>
      <c r="Y4" s="180">
        <f>+IF(AND(Cálculo!$C$128&lt;=Valoración!C4,Cálculo!$B$128&gt;=Valoración!B4),Cálculo!$C$128,Valoración!C4)</f>
        <v>200000</v>
      </c>
      <c r="Z4" s="180">
        <f>+IF(Cálculo!$B$127&gt;=Valoración!C4,Valoración!C4*(1-N4),Cálculo!$B$127*(1-N4))</f>
        <v>0</v>
      </c>
    </row>
    <row r="5" spans="1:26" ht="135" x14ac:dyDescent="0.25">
      <c r="A5" s="11" t="s">
        <v>285</v>
      </c>
      <c r="B5" s="11" t="s">
        <v>286</v>
      </c>
      <c r="C5" s="11" t="s">
        <v>287</v>
      </c>
      <c r="D5" s="11" t="str">
        <f>IF(Cálculo!$B$127&lt;5000,_xlfn.CONCAT("Dado que el proyecto busca dar tratamiento a aproximadamente a ",ROUNDDOWN(Cálculo!$B$127,0)," toneladas anuales de residuos orgánicos, para una implementación adecuada de la tecnología se recomienda abarcar un mercado mayor, incluyendo otros municipios dentro del proyecto. ",IF('Datos de entrada'!$B$11="No","Se recomienda considerar los residuos orgánicos provenientes de plazas de mercado y centrales de abasto para alcanzar la éscala óptima de la tecnología. ",""),IF('Datos de entrada'!$B$13="No","Además, se recomienda considerar los residuos orgánicos provenientes de corte de césped y poda de árboles para alcanzar la éscala óptima de la tecnología","")),IF(Cálculo!$B$127&gt;300000,_xlfn.CONCAT("Dado que el proyecto busca dar tratamiento a aproximadamente a ",ROUNDDOWN(Cálculo!$B$127,0)," toneladas anuales de residuos orgánicos, se recomienda analizar la implementación de una mezcla de tecnologías y plantas de tratamiento en diferentes localizaciones para cubrir la demanda",". Todas las estimaciones realizadas parten de la capacidad de una planta de tratamiento de 300.000 toneladas al año"),_xlfn.CONCAT("Dado que el proyecto busca dar tratamiento a aproximadamente a ",ROUNDDOWN(Cálculo!$B$127,0)," toneladas anuales de residuos orgánicos, cuenta con una escala adecuada para implementar la tecnología")))</f>
        <v xml:space="preserve">Dado que el proyecto busca dar tratamiento a aproximadamente a 0 toneladas anuales de residuos orgánicos, para una implementación adecuada de la tecnología se recomienda abarcar un mercado mayor, incluyendo otros municipios dentro del proyecto. </v>
      </c>
      <c r="E5" s="11" t="s">
        <v>277</v>
      </c>
      <c r="F5" s="11" t="str">
        <f>IF(Cálculo!$C$136=Ponderaciones!$A$24,"Esta tecnología no requiere personal muy tecnificado ni equipos con especificaciones técnicas elevadas."&amp;"Su principal barrera se presenta por la incorrecta separación en la fuente de los residuos por parte del suscriptor."&amp;"De acuerdo con la información suministrada la población atendida cuenta con buenas prácticas en este aspecto."&amp;" Igualmente es recomendable desarrollar campañas educativas que mantengan a los habitantes enterados sobre las buenas prácticas en gestión de residuos sólidos",IF(Cálculo!$C$136=Ponderaciones!$A$25,"Esta tecnología no requiere personal muy tecnificado ni equipos con especificaciones técnicas elevadas."&amp;"Su principal barrera se presenta por la incorrecta separación en la fuente de los residuos por parte del suscriptor."&amp;"Dados las salidas obtenidas por el modelo en este aspecto se recomienda desarrollar campañas educativas que mantengan a los habitantes"&amp;" enterados sobre las buenas prácticas en gestión de residuos sólidos enfocados en la separación en la fuente de residuos sólidos orgánicos y en economía circular","Esta tecnología no requiere personal muy tecnificado ni equipos con especificaciones técnicas elevadas."&amp;"Su principal barrera se presenta por la incorrecta separación en la fuente de los residuos por parte del suscriptor."&amp;" Dadas las salidas obtenidas por el modelo en este aspecto antes de implementar la tecnología es urgente desarrollar campañas"&amp;" enfocadas en la separación en la fuente de residuos orgánicos la economía circular y los impactos negativos a la salud humana y del ambiente por una inadecuada gestión de residuos sólidos"))</f>
        <v>Esta tecnología no requiere personal muy tecnificado ni equipos con especificaciones técnicas elevadas.Su principal barrera se presenta por la incorrecta separación en la fuente de los residuos por parte del suscriptor. Dadas las salidas obtenidas por el modelo en este aspecto antes de implementar la tecnología es urgente desarrollar campañas enfocadas en la separación en la fuente de residuos orgánicos la economía circular y los impactos negativos a la salud humana y del ambiente por una inadecuada gestión de residuos sólidos</v>
      </c>
      <c r="G5" s="11" t="s">
        <v>278</v>
      </c>
      <c r="H5" s="11" t="str">
        <f>IF(OR('Datos de entrada'!$B$11="No",'Datos de entrada'!$B$13="No"),IF(Cálculo!$C$136=Ponderaciones!$A$24,"Dada que se cuenta con una separación en la fuente adecuada, los RSO entregados serán homogéneos disminuyendo"&amp;" los costos de su adecuación para el tratamiento."&amp;" Además, se recomienda incluir los residuos provenientes de poda de árboles o corte de cesped,"&amp;" o los de plaas de mercado y centrales de abasto",IF(Cálculo!$C$136=Ponderaciones!$A$25,"Dada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tratamiento.","Antes de considerar desarrollar un proyecto de tratamiento de residuos sólidos, es necesario elevar los niveles de separación en la fuente para garantizar su éxito.")), IF(Cálculo!$C$136=Ponderaciones!$A$24,"Dada que se cuenta con una separación en la fuente adecuada, los RSO entregados serán homogéneos disminuyendo"&amp;" los costos de su adecuación para el tratamiento.",IF(Cálculo!$C$136=Ponderaciones!$A$25,"Dada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tratamiento.","Antes de considerar desarrollar un proyecto de tratamiento de residuos sólidos, es necesario elevar los niveles de separación en la fuente para garantizar su éxito.")))</f>
        <v>Antes de considerar desarrollar un proyecto de tratamiento de residuos sólidos, es necesario elevar los niveles de separación en la fuente para garantizar su éxito.</v>
      </c>
      <c r="I5" s="11" t="s">
        <v>279</v>
      </c>
      <c r="K5" s="11" t="s">
        <v>288</v>
      </c>
      <c r="L5" s="11" t="str">
        <f>"El control de olores de los sistemas de compostaje generalmente se logra mediante la aplicación de oxígeno para evitar reacciones anaeróbicas (sin presencia de este gas)."&amp;IF(X4&gt;=20000," El tamaño de la planta requiere licenciamiento ambiental, por lo tanto debe elaborar el plan de manejo ambiental y adelantar los tramites para obtenerla.","")</f>
        <v>El control de olores de los sistemas de compostaje generalmente se logra mediante la aplicación de oxígeno para evitar reacciones anaeróbicas (sin presencia de este gas). El tamaño de la planta requiere licenciamiento ambiental, por lo tanto debe elaborar el plan de manejo ambiental y adelantar los tramites para obtenerla.</v>
      </c>
      <c r="M5" s="11" t="str">
        <f>+M4</f>
        <v xml:space="preserve"> Si usted desea hacer una estimación de toneladas equivalentes de CO2 puede remitirse a la herramienta de cálculo de gases de efecto invernadero (GEI) en el manejo de residuos sólidos (MRS) en este link https://www.bivica.org/file/view/id/1081 y al https://www.ifeu.de/en/project/tool-for-calculating-greenhouse-gases-ghg-in-solid-waste-management-swm/</v>
      </c>
      <c r="N5" s="39">
        <v>0.52</v>
      </c>
      <c r="O5" s="39">
        <v>0.52</v>
      </c>
      <c r="P5" s="39">
        <v>0.38</v>
      </c>
      <c r="Q5" s="11">
        <v>0.5</v>
      </c>
      <c r="R5" s="11">
        <v>60</v>
      </c>
      <c r="T5" s="11" t="str">
        <f>+IF(OR('Datos de entrada'!B11="SI",'Datos de entrada'!B13="SI")," Es importante tener presente que el material estabilizado resultante no es recomendado para uso agricola y debe disponerse. ","")</f>
        <v/>
      </c>
      <c r="U5" s="11" t="e">
        <f>+IF(Valoración!H5="No adecuado","La humedad existente no es suficiente, se debe aumentar su contenido para lo cual deberá evaluar su costo. ","")</f>
        <v>#DIV/0!</v>
      </c>
      <c r="X5" s="180">
        <f>ROUND(IF(AND(Cálculo!$B$127&lt;=Valoración!C5,Cálculo!$B$127&gt;=Valoración!B5),Cálculo!$B$127,Valoración!C5),-3)</f>
        <v>300000</v>
      </c>
      <c r="Y5" s="180">
        <f>+IF(AND(Cálculo!$C$128&lt;=Valoración!C5,Cálculo!$B$128&gt;=Valoración!B5),Cálculo!$C$128,Valoración!C5)</f>
        <v>300000</v>
      </c>
      <c r="Z5" s="180">
        <f>+IF(Cálculo!$B$127&gt;=Valoración!C5,Valoración!C5*(1-N5),Cálculo!$B$127*(1-N5))</f>
        <v>0</v>
      </c>
    </row>
    <row r="6" spans="1:26" ht="84.75" customHeight="1" x14ac:dyDescent="0.25">
      <c r="A6" s="283" t="s">
        <v>289</v>
      </c>
      <c r="B6" s="11" t="s">
        <v>290</v>
      </c>
      <c r="C6" s="11" t="s">
        <v>291</v>
      </c>
      <c r="D6" s="11" t="str">
        <f>IF(Cálculo!$B$127&lt;20000,_xlfn.CONCAT("Dado que el proyecto busca dar tratamiento a aproximadamente a ",ROUNDDOWN(Cálculo!$B$127,0)," toneladas anuales de residuos  sólidos, para una implementación adecuada de la tecnología se recomienda abarcar un mercado mayor, incluyendo otros municipios dentro del proyecto. ",IF('Datos de entrada'!$B$11="No","Se recomienda considerar los residuos orgánicos provenientes de plazas de mercado y centrales de abasto para alcanzar la éscala óptima de la tecnología. ",""),IF('Datos de entrada'!$B$13="No","Además, se recomienda considerar los residuos orgánicos provenientes de corte de césped y poda de árboles para alcanzar la éscala óptima de la tecnología.",""), "Esta tecnología puede tratar residuos inorgánicos, logrando su separación para su posterior reciclaje, por lo que se recomienda identificar fuentes de estos residuos que permitan alcanzar la escala óptima de la tecnología"),IF(Cálculo!$B$127&gt;500000,_xlfn.CONCAT("Dado que el proyecto busca dar tratamiento a aproximadamente a ",ROUNDDOWN(Cálculo!$B$127,0)," toneladas anuales de residuos sólidos se recomienda analizar la implementación de una mezcla de tecnologías y plantas de tratamiento en diferentes localizaciones para cubrir la demanda",". Todas las estimaciones realizadas parten de la capacidad de una planta de tratamiento de 500.000 toneladas al año"),_xlfn.CONCAT("Dado que el proyecto busca dar tratamiento a aproximadamente a ",ROUNDDOWN(Cálculo!$B$127,0)," toneladas anuales de residuos sólidos, cuenta con una escala adecuada para implementar la tecnología.")))</f>
        <v>Dado que el proyecto busca dar tratamiento a aproximadamente a 0 toneladas anuales de residuos  sólidos, para una implementación adecuada de la tecnología se recomienda abarcar un mercado mayor, incluyendo otros municipios dentro del proyecto. Esta tecnología puede tratar residuos inorgánicos, logrando su separación para su posterior reciclaje, por lo que se recomienda identificar fuentes de estos residuos que permitan alcanzar la escala óptima de la tecnología</v>
      </c>
      <c r="E6" s="11" t="s">
        <v>292</v>
      </c>
      <c r="F6" s="283" t="str">
        <f>IF(Cálculo!$C$136=Ponderaciones!$A$24,"Esta tecnología requiere personal medianamente tecnificado para el adecuado uso de los equipos y su mantenimiento."&amp;"Para su uso óptimo se requiere una adecuada separación en la fuente de los residuos por parte del suscriptor."&amp;"De acuerdo con la información suministrada la población atendida cuenta con buenas prácticas en este aspecto."&amp;" Igualmente es recomendable desarrollar campañas educativas que mantengan a los habitantes enterados sobre las buenas prácticas en gestión de residuos sólidos","Esta tecnología requiere personal medianamente tecnificado para el adecuado uso de los equipos y su mantenimiento."&amp;"Para su uso óptimo se requiere una adecua separación en la fuente de los residuos por parte del suscriptor, pero no es necesaria."&amp;" Se recomienda desarrollar "&amp;" que mantengan a los habitantes"&amp;" enterados sobre las buenas prácticas en gestión de residuos sólidos enfocados en la separación en la fuente de residuos sólidos orgánicos y en economía circular.")</f>
        <v>Esta tecnología requiere personal medianamente tecnificado para el adecuado uso de los equipos y su mantenimiento.Para su uso óptimo se requiere una adecua separación en la fuente de los residuos por parte del suscriptor, pero no es necesaria. Se recomienda desarrollar  que mantengan a los habitantes enterados sobre las buenas prácticas en gestión de residuos sólidos enfocados en la separación en la fuente de residuos sólidos orgánicos y en economía circular.</v>
      </c>
      <c r="G6" s="283" t="s">
        <v>293</v>
      </c>
      <c r="H6" s="283" t="str">
        <f>"A mayor separación en la fuente mayor facilidad tienen los procesos del Tratamiento Mecánico Biológico. "&amp;IF(Cálculo!$C$136=Ponderaciones!$A$24,"Dada que se cuenta con una separación en la fuente adecuada, los RSO entregados serán homogéneos disminuyendo"&amp;" los costos de su adecuación para el tratamiento e incrementando la desviación de residuos que de otra forma irían al relleno.",IF(Cálculo!$C$136=Ponderaciones!$A$25,"Dada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 e incrementar la desviación de residuos que de otra forma irían al relleno..","Antes de considerar desarrollar un proyecto de tratamiento de residuos sólidos, es necesario elevar los niveles de separación en la fuente para garantizar su éxito."))&amp;IF('Datos de entrada'!$B$28="No", "Es necesario implementar campañas para fortalecer la separación de residuos inorgánicos. ","")&amp;IF('Datos de entrada'!$B$27="No", " Por otro lado, se deben fortalecer la separación de residuos orgánicos a través de programas de sensibilización.","")</f>
        <v>A mayor separación en la fuente mayor facilidad tienen los procesos del Tratamiento Mecánico Biológico. Antes de considerar desarrollar un proyecto de tratamiento de residuos sólidos, es necesario elevar los niveles de separación en la fuente para garantizar su éxito.</v>
      </c>
      <c r="I6" s="11" t="s">
        <v>294</v>
      </c>
      <c r="K6" s="11" t="s">
        <v>280</v>
      </c>
      <c r="L6" s="11" t="str">
        <f>"Un manejo adecuado de los residuos orgánicos permitirá evitar la generación de olores. Esto implica cortos períodos de almacenamiento para evitar su descomposición."&amp;IF(X4&gt;=20000," El tamaño de la planta requiere licenciamiento ambiental, por lo tanto debe elaborar el plan de manejo ambiental y adelantar los tramites para obtenerla.","")</f>
        <v>Un manejo adecuado de los residuos orgánicos permitirá evitar la generación de olores. Esto implica cortos períodos de almacenamiento para evitar su descomposición. El tamaño de la planta requiere licenciamiento ambiental, por lo tanto debe elaborar el plan de manejo ambiental y adelantar los tramites para obtenerla.</v>
      </c>
      <c r="M6" s="11" t="str">
        <f>+M5</f>
        <v xml:space="preserve"> Si usted desea hacer una estimación de toneladas equivalentes de CO2 puede remitirse a la herramienta de cálculo de gases de efecto invernadero (GEI) en el manejo de residuos sólidos (MRS) en este link https://www.bivica.org/file/view/id/1081 y al https://www.ifeu.de/en/project/tool-for-calculating-greenhouse-gases-ghg-in-solid-waste-management-swm/</v>
      </c>
      <c r="N6" s="39">
        <v>0.6</v>
      </c>
      <c r="O6" s="39">
        <v>0.75</v>
      </c>
      <c r="P6" s="39">
        <v>0.68</v>
      </c>
      <c r="Q6" s="11">
        <v>0.2</v>
      </c>
      <c r="R6" s="11">
        <v>60</v>
      </c>
      <c r="S6" s="181">
        <v>0.95</v>
      </c>
      <c r="U6" s="11" t="e">
        <f>+IF(Valoración!H6="No adecuado","La humedad existente no es suficiente, por ello se debe adicionar agua. ","")</f>
        <v>#DIV/0!</v>
      </c>
      <c r="V6" s="168">
        <f>Cálculo!B127/Valoración!C6*0.25</f>
        <v>0</v>
      </c>
      <c r="W6" s="11">
        <f>('Datos de entrada'!B12+'Datos de entrada'!B14)/Valoración!C6*0.25</f>
        <v>0</v>
      </c>
      <c r="X6" s="180">
        <f>ROUND(IF(AND(Cálculo!$B$127&lt;=Valoración!C6,Cálculo!$B$127&gt;=Valoración!B6),Cálculo!$B$127,Valoración!C6),-3)</f>
        <v>500000</v>
      </c>
      <c r="Y6" s="180">
        <f>+IF(AND(Cálculo!$C$128&lt;=Valoración!C6,Cálculo!$B$128&gt;=Valoración!B6),Cálculo!$C$128,Valoración!C6)</f>
        <v>500000</v>
      </c>
      <c r="Z6" s="180">
        <f>+IF(Cálculo!$B$127&gt;=Valoración!C6,Valoración!C6*(1-N6),Cálculo!$B$127*(1-N6))</f>
        <v>0</v>
      </c>
    </row>
    <row r="7" spans="1:26" x14ac:dyDescent="0.25">
      <c r="A7" s="283"/>
      <c r="F7" s="283"/>
      <c r="G7" s="283"/>
      <c r="H7" s="283"/>
      <c r="I7" s="11" t="s">
        <v>295</v>
      </c>
      <c r="Q7" s="11">
        <v>0.46</v>
      </c>
      <c r="R7" s="11">
        <v>30</v>
      </c>
      <c r="S7" s="11">
        <f>IF('Datos de entrada'!$B$10&gt;0,'Datos de entrada'!$B$10,'Información referencia'!$B$14)</f>
        <v>0.61</v>
      </c>
    </row>
    <row r="8" spans="1:26" ht="30" x14ac:dyDescent="0.25">
      <c r="A8" s="283"/>
      <c r="F8" s="283"/>
      <c r="G8" s="283"/>
      <c r="H8" s="283"/>
      <c r="I8" s="11" t="s">
        <v>296</v>
      </c>
      <c r="Q8" s="11">
        <v>0.05</v>
      </c>
      <c r="R8" s="11">
        <v>350</v>
      </c>
      <c r="S8" s="181">
        <v>0.1</v>
      </c>
    </row>
    <row r="9" spans="1:26" ht="183" customHeight="1" x14ac:dyDescent="0.25">
      <c r="A9" s="283" t="s">
        <v>297</v>
      </c>
      <c r="B9" s="11" t="s">
        <v>298</v>
      </c>
      <c r="C9" s="11" t="s">
        <v>291</v>
      </c>
      <c r="D9" s="11" t="str">
        <f>IF(Cálculo!$B$127&lt;20000,_xlfn.CONCAT("Dado que el proyecto busca dar tratamiento a aproximadamente a ",ROUNDDOWN(Cálculo!$B$127,0)," toneladas anuales de residuos orgánicos, para una implementación adecuada de la tecnología se recomienda abarcar un mercado mayor, incluyendo otros municipios dentro del proyecto. ",IF('Datos de entrada'!$B$11="No","Se recomienda considerar los residuos orgánicos provenientes de plazas de mercado y centrales de abasto para alcanzar la éscala óptima de la tecnología. ",""),IF('Datos de entrada'!$B$13="No","Además, se recomienda considerar los residuos orgánicos provenientes de corte de césped y poda de árboles para alcanzar la éscala óptima de la tecnología",""), "Esta tecnología, además, permite tratar residuos semi sólidos por lo que se recomienda incluir lodos sin contaminantes peligrosos para alcanzar la escala obtenida"),IF(Cálculo!$B$127&gt;500000,_xlfn.CONCAT("Dado que el proyecto busca dar tratamiento a aproximadamente a ",ROUNDDOWN(Cálculo!$B$127,0)," toneladas anuales de residuos orgánicos, se recomienda analizar la implementación de una mezcla de tecnologías y plantas de tratamiento en diferentes localizaciones para cubrir la demanda",". Todas las estimaciones realizadas parten de la capacidad de una planta de tratamiento de 500.000 toneladas al año"),_xlfn.CONCAT("Dado que el proyecto busca dar tratamiento a aproximadamente a ",ROUNDDOWN(Cálculo!$B$127,0)," toneladas anuales de residuos orgánicos, cuenta con una escala adecuada para implementar la tecnología")))</f>
        <v>Dado que el proyecto busca dar tratamiento a aproximadamente a 0 toneladas anuales de residuos orgánicos, para una implementación adecuada de la tecnología se recomienda abarcar un mercado mayor, incluyendo otros municipios dentro del proyecto. Esta tecnología, además, permite tratar residuos semi sólidos por lo que se recomienda incluir lodos sin contaminantes peligrosos para alcanzar la escala obtenida</v>
      </c>
      <c r="E9" s="11" t="s">
        <v>292</v>
      </c>
      <c r="F9" s="11" t="str">
        <f>IF(Cálculo!$B$142=Ponderaciones!$A$145,"Esta tecnología requiere personal con altas capacidades técnicas y equipos especializados."&amp;" Debe implementarse únicamente en escenarios con niveles de favorabilidad muy altos."&amp;"Dados los resultados del modelo, en un primer análisis es viable implementar la tecnología."&amp;" No obstante, este análisis debe complementarse con un estudio detallado que permita"&amp;" identificar si su implementación es financieramente sostenible en el mediano plazo.", "Esta tecnología requiere personal con altas capacidades técnicas y equipos especializados."&amp;" Debe implementarse únicamente en escenarios con niveles de favorabilidad muy altos."&amp;"Dados los resultados del modelo, no se cuenta con los niveles de faborabilidad necesarios"&amp;" Se recomienda analizar la implementación de una tecnología distinta.")</f>
        <v>Esta tecnología requiere personal con altas capacidades técnicas y equipos especializados. Debe implementarse únicamente en escenarios con niveles de favorabilidad muy altos.Dados los resultados del modelo, no se cuenta con los niveles de faborabilidad necesarios Se recomienda analizar la implementación de una tecnología distinta.</v>
      </c>
      <c r="G9" s="11" t="s">
        <v>278</v>
      </c>
      <c r="H9" s="11" t="str">
        <f>IF(OR('Datos de entrada'!$B$11="No",'Datos de entrada'!$B$13="No"),IF(Cálculo!$C$136=Ponderaciones!$A$24,"Dada que se cuenta con una separación en la fuente adecuada, los RSO entregados serán homogéneos disminuyendo"&amp;" los costos de su adecuación para el tratamiento."&amp;" Además, se recomienda incluir los residuos provenientes de poda de árboles o corte de cesped,"&amp;" o los de plaas de mercado y centrales de abasto",IF(Cálculo!$C$136=Ponderaciones!$A$25,"Dada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tratamiento.","Antes de considerar desarrollar un proyecto de tratamiento de residuos sólidos, es necesario elevar los niveles de separación en la fuente para garantizar su éxito.")), IF(Cálculo!$C$136=Ponderaciones!$A$24,"Dada que se cuenta con una separación en la fuente adecuada, los RSO entregados serán homogéneos disminuyendo"&amp;" los costos de su adecuación para el tratamiento.",IF(Cálculo!$C$136=Ponderaciones!$A$25,"Dada que se cuenta con una separación en la fuente medianamente adecuada,"&amp;" es necesario fortalecerla con campañas, lo cual permitirá que los residuos destinados a tratamiento"&amp;" sean más homogéneos y así disminuir los costos de su adecuación para su tratamiento.","Antes de considerar desarrollar un proyecto de tratamiento de residuos sólidos, es necesario elevar los niveles de separación en la fuente para garantizar su éxito.")))</f>
        <v>Antes de considerar desarrollar un proyecto de tratamiento de residuos sólidos, es necesario elevar los niveles de separación en la fuente para garantizar su éxito.</v>
      </c>
      <c r="I9" s="11" t="s">
        <v>299</v>
      </c>
      <c r="K9" s="11" t="s">
        <v>288</v>
      </c>
      <c r="L9" s="11" t="str">
        <f>"El biogás generado presenta un característico olor a metano. No obstane, los equipos son cerrados y a menos que este sea liberado a la atmosfera esto no representa un impacto elevado."&amp;IF(X4&gt;=20000," El tamaño de la planta requiere licenciamiento ambiental, por lo tanto debe elaborar el plan de manejo ambiental y adelantar los tramites para obtenerla.","")</f>
        <v>El biogás generado presenta un característico olor a metano. No obstane, los equipos son cerrados y a menos que este sea liberado a la atmosfera esto no representa un impacto elevado. El tamaño de la planta requiere licenciamiento ambiental, por lo tanto debe elaborar el plan de manejo ambiental y adelantar los tramites para obtenerla.</v>
      </c>
      <c r="M9" s="11" t="str">
        <f>+M6</f>
        <v xml:space="preserve"> Si usted desea hacer una estimación de toneladas equivalentes de CO2 puede remitirse a la herramienta de cálculo de gases de efecto invernadero (GEI) en el manejo de residuos sólidos (MRS) en este link https://www.bivica.org/file/view/id/1081 y al https://www.ifeu.de/en/project/tool-for-calculating-greenhouse-gases-ghg-in-solid-waste-management-swm/</v>
      </c>
      <c r="N9" s="39">
        <v>0.33</v>
      </c>
      <c r="O9" s="39">
        <v>0.65</v>
      </c>
      <c r="P9" s="39">
        <v>0.57999999999999996</v>
      </c>
      <c r="Q9" s="11">
        <v>0.6</v>
      </c>
      <c r="R9" s="11">
        <v>60</v>
      </c>
      <c r="T9" s="11" t="str">
        <f>+IF(OR('Datos de entrada'!B11="SI",'Datos de entrada'!B13="SI")," Es importante tener presente que el material estabilizado resultante no es recomendado para uso agricola y debe disponerse. ","")</f>
        <v/>
      </c>
      <c r="U9" s="11" t="e">
        <f>+IF(Valoración!H7="No adecuado","La humedad existente no es suficiente, se debe aumentar su contenido para lo cual deberá evaluar su costo. ","")</f>
        <v>#DIV/0!</v>
      </c>
      <c r="V9" s="168">
        <f>140000/Valoración!C7*0.1</f>
        <v>2.8000000000000004E-2</v>
      </c>
      <c r="W9" s="11">
        <f>('Datos de entrada'!B12+'Datos de entrada'!B14)/Valoración!C7*0.1</f>
        <v>0</v>
      </c>
      <c r="X9" s="180">
        <f>ROUND(IF(AND(Cálculo!$B$127&lt;=Valoración!C7,Cálculo!$B$127&gt;=Valoración!B7),Cálculo!$B$127,Valoración!C7),-3)</f>
        <v>500000</v>
      </c>
      <c r="Y9" s="180">
        <f>+IF(AND(Cálculo!$C$128&lt;=Valoración!C7,Cálculo!$B$128&gt;=Valoración!B7),Cálculo!$C$128,Valoración!C7)</f>
        <v>500000</v>
      </c>
      <c r="Z9" s="180">
        <f>+IF(Cálculo!$B$127&gt;=Valoración!C7,Valoración!C7*(1-N9),Cálculo!$B$127*(1-N9))</f>
        <v>0</v>
      </c>
    </row>
    <row r="10" spans="1:26" x14ac:dyDescent="0.25">
      <c r="A10" s="283"/>
      <c r="I10" s="11" t="s">
        <v>300</v>
      </c>
      <c r="Q10" s="11">
        <v>0.1</v>
      </c>
      <c r="R10" s="11">
        <v>0.25</v>
      </c>
    </row>
  </sheetData>
  <mergeCells count="6">
    <mergeCell ref="A9:A10"/>
    <mergeCell ref="N1:O1"/>
    <mergeCell ref="A6:A8"/>
    <mergeCell ref="H6:H8"/>
    <mergeCell ref="F6:F8"/>
    <mergeCell ref="G6:G8"/>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5450E-F491-4D81-8E9C-EA2BD229F93B}">
  <sheetPr codeName="Hoja16">
    <tabColor theme="6"/>
  </sheetPr>
  <dimension ref="A1:AM63"/>
  <sheetViews>
    <sheetView workbookViewId="0">
      <selection activeCell="B128" sqref="B128"/>
    </sheetView>
  </sheetViews>
  <sheetFormatPr baseColWidth="10" defaultColWidth="11.42578125" defaultRowHeight="15" x14ac:dyDescent="0.25"/>
  <cols>
    <col min="1" max="1" width="11.42578125" customWidth="1"/>
    <col min="7" max="7" width="52.85546875" bestFit="1" customWidth="1"/>
    <col min="8" max="8" width="21.140625" customWidth="1"/>
  </cols>
  <sheetData>
    <row r="1" spans="1:9" x14ac:dyDescent="0.25">
      <c r="A1">
        <v>1</v>
      </c>
      <c r="B1" t="s">
        <v>301</v>
      </c>
    </row>
    <row r="2" spans="1:9" x14ac:dyDescent="0.25">
      <c r="A2">
        <v>2</v>
      </c>
      <c r="G2" t="s">
        <v>302</v>
      </c>
      <c r="H2" t="s">
        <v>303</v>
      </c>
    </row>
    <row r="3" spans="1:9" x14ac:dyDescent="0.25">
      <c r="A3">
        <v>3</v>
      </c>
      <c r="H3" s="97"/>
    </row>
    <row r="4" spans="1:9" x14ac:dyDescent="0.25">
      <c r="A4">
        <v>4</v>
      </c>
      <c r="G4" t="s">
        <v>304</v>
      </c>
      <c r="H4" s="121" t="e">
        <f>IF((Cálculo!$C$2/3)&lt;5000,($H$31+'CDF y CRT-TMB'!$H$35),('CDF y CRT-TMB'!$H$21+$H$23))</f>
        <v>#VALUE!</v>
      </c>
    </row>
    <row r="5" spans="1:9" x14ac:dyDescent="0.25">
      <c r="A5">
        <v>5</v>
      </c>
      <c r="H5" s="97"/>
    </row>
    <row r="6" spans="1:9" hidden="1" x14ac:dyDescent="0.25">
      <c r="A6">
        <v>6</v>
      </c>
      <c r="H6" s="72"/>
    </row>
    <row r="7" spans="1:9" hidden="1" x14ac:dyDescent="0.25">
      <c r="A7">
        <v>7</v>
      </c>
      <c r="H7" s="72"/>
    </row>
    <row r="8" spans="1:9" hidden="1" x14ac:dyDescent="0.25">
      <c r="A8">
        <v>8</v>
      </c>
    </row>
    <row r="9" spans="1:9" hidden="1" x14ac:dyDescent="0.25">
      <c r="A9">
        <v>9</v>
      </c>
      <c r="H9" s="97"/>
    </row>
    <row r="10" spans="1:9" hidden="1" x14ac:dyDescent="0.25">
      <c r="A10">
        <v>10</v>
      </c>
    </row>
    <row r="11" spans="1:9" hidden="1" x14ac:dyDescent="0.25">
      <c r="A11">
        <v>11</v>
      </c>
    </row>
    <row r="12" spans="1:9" hidden="1" x14ac:dyDescent="0.25">
      <c r="A12">
        <v>12</v>
      </c>
    </row>
    <row r="13" spans="1:9" hidden="1" x14ac:dyDescent="0.25">
      <c r="A13">
        <v>13</v>
      </c>
    </row>
    <row r="14" spans="1:9" x14ac:dyDescent="0.25">
      <c r="A14">
        <v>14</v>
      </c>
      <c r="B14" t="s">
        <v>305</v>
      </c>
      <c r="I14" t="s">
        <v>306</v>
      </c>
    </row>
    <row r="15" spans="1:9" x14ac:dyDescent="0.25">
      <c r="A15">
        <v>15</v>
      </c>
      <c r="G15" t="s">
        <v>302</v>
      </c>
      <c r="H15" t="s">
        <v>303</v>
      </c>
    </row>
    <row r="16" spans="1:9" x14ac:dyDescent="0.25">
      <c r="A16">
        <v>16</v>
      </c>
      <c r="G16" t="s">
        <v>307</v>
      </c>
      <c r="H16" s="97">
        <f>I16/12</f>
        <v>14166.66666666667</v>
      </c>
      <c r="I16" s="182">
        <f>'Fichas técnicas Tecnologías'!$X$6*((1-'Fichas técnicas Tecnologías'!S6)+(1-'Fichas técnicas Tecnologías'!S7)-('Fichas técnicas Tecnologías'!S8))</f>
        <v>170000.00000000003</v>
      </c>
    </row>
    <row r="17" spans="1:12" x14ac:dyDescent="0.25">
      <c r="A17">
        <v>17</v>
      </c>
      <c r="G17" t="s">
        <v>308</v>
      </c>
      <c r="H17">
        <f>IF('Datos de entrada'!$B$50="No",'Datos de entrada'!$B$51,'Datos de entrada'!$B$34)</f>
        <v>0</v>
      </c>
    </row>
    <row r="18" spans="1:12" x14ac:dyDescent="0.25">
      <c r="A18">
        <v>18</v>
      </c>
      <c r="G18" t="s">
        <v>309</v>
      </c>
      <c r="H18" s="121">
        <f>H19+H20</f>
        <v>29169.416305882351</v>
      </c>
    </row>
    <row r="19" spans="1:12" x14ac:dyDescent="0.25">
      <c r="A19">
        <v>19</v>
      </c>
      <c r="G19" t="s">
        <v>310</v>
      </c>
      <c r="H19" s="72">
        <f>MIN(18722+(132924379/$H$16), 139896)</f>
        <v>28104.897341176467</v>
      </c>
    </row>
    <row r="20" spans="1:12" x14ac:dyDescent="0.25">
      <c r="A20">
        <v>20</v>
      </c>
      <c r="G20" t="s">
        <v>311</v>
      </c>
      <c r="H20" s="72">
        <f>MIN(242+(11652352/$H$16),6185)</f>
        <v>1064.5189647058821</v>
      </c>
    </row>
    <row r="21" spans="1:12" x14ac:dyDescent="0.25">
      <c r="A21">
        <v>21</v>
      </c>
      <c r="G21" t="s">
        <v>312</v>
      </c>
      <c r="H21" s="121">
        <f>+H18*((1+(2.23%*('Datos de entrada'!$B$5-2014))))</f>
        <v>-1280893.2427071668</v>
      </c>
    </row>
    <row r="22" spans="1:12" x14ac:dyDescent="0.25">
      <c r="A22">
        <v>22</v>
      </c>
      <c r="G22" t="s">
        <v>313</v>
      </c>
      <c r="H22" s="120">
        <f>64745+(738*$H$17)+(8683846/$H$16)</f>
        <v>65357.977364705883</v>
      </c>
    </row>
    <row r="23" spans="1:12" x14ac:dyDescent="0.25">
      <c r="A23">
        <v>23</v>
      </c>
      <c r="G23" t="s">
        <v>314</v>
      </c>
      <c r="H23" s="120">
        <f>$H$22*((0.89+(0.003*('Datos de entrada'!$B$5-2014)))+(0.11+(0.001*('Datos de entrada'!$B$5-2014))))</f>
        <v>-461165.88828536472</v>
      </c>
    </row>
    <row r="24" spans="1:12" x14ac:dyDescent="0.25">
      <c r="A24">
        <v>24</v>
      </c>
    </row>
    <row r="25" spans="1:12" x14ac:dyDescent="0.25">
      <c r="A25">
        <v>25</v>
      </c>
    </row>
    <row r="26" spans="1:12" x14ac:dyDescent="0.25">
      <c r="A26">
        <v>26</v>
      </c>
      <c r="B26" t="s">
        <v>315</v>
      </c>
    </row>
    <row r="27" spans="1:12" x14ac:dyDescent="0.25">
      <c r="A27">
        <v>27</v>
      </c>
    </row>
    <row r="28" spans="1:12" x14ac:dyDescent="0.25">
      <c r="A28">
        <v>28</v>
      </c>
      <c r="G28" t="s">
        <v>316</v>
      </c>
      <c r="H28" s="97">
        <f>I16/12</f>
        <v>14166.66666666667</v>
      </c>
    </row>
    <row r="29" spans="1:12" x14ac:dyDescent="0.25">
      <c r="A29">
        <v>29</v>
      </c>
      <c r="G29" t="s">
        <v>308</v>
      </c>
      <c r="H29">
        <f>IF('Datos de entrada'!$B$50="No",'Datos de entrada'!$B$51,'Datos de entrada'!$B$34)</f>
        <v>0</v>
      </c>
    </row>
    <row r="30" spans="1:12" x14ac:dyDescent="0.25">
      <c r="A30">
        <v>30</v>
      </c>
      <c r="G30" t="s">
        <v>317</v>
      </c>
      <c r="H30" s="167">
        <f>IF($H$29&lt;100,VLOOKUP($L$32,$A$43:$AM$62,$L$33,FALSE),25554+(1082*$H$29+(15659942/$H$28)))</f>
        <v>73287</v>
      </c>
    </row>
    <row r="31" spans="1:12" x14ac:dyDescent="0.25">
      <c r="A31">
        <v>31</v>
      </c>
      <c r="G31" t="s">
        <v>314</v>
      </c>
      <c r="H31" s="167">
        <f>$H$30*((0.89*(1+3%)^('Datos de entrada'!$B$5-2018))+(0.11*(1+1%)^('Datos de entrada'!$B$5-2018)))</f>
        <v>1.5342189265412069E-5</v>
      </c>
      <c r="I31" s="174">
        <f>+H31/H30</f>
        <v>2.0934393910805556E-10</v>
      </c>
    </row>
    <row r="32" spans="1:12" x14ac:dyDescent="0.25">
      <c r="A32">
        <v>32</v>
      </c>
      <c r="G32" t="s">
        <v>318</v>
      </c>
      <c r="H32" s="120">
        <f>+H33+H34</f>
        <v>32835.056494117642</v>
      </c>
      <c r="I32" s="175">
        <f>(I31^0.25)-1</f>
        <v>-0.99619622256332918</v>
      </c>
      <c r="K32" t="s">
        <v>180</v>
      </c>
      <c r="L32">
        <f>+ROW(B43)+INT(H29/5)</f>
        <v>43</v>
      </c>
    </row>
    <row r="33" spans="1:39" x14ac:dyDescent="0.25">
      <c r="A33">
        <v>33</v>
      </c>
      <c r="G33" t="s">
        <v>319</v>
      </c>
      <c r="H33" s="120">
        <f>MIN(21075+(149630621/$H$28), 157478)</f>
        <v>31637.161482352938</v>
      </c>
      <c r="K33" t="s">
        <v>320</v>
      </c>
      <c r="L33">
        <f>+IF(H28&lt;=200,COLUMN(E41),IF(AND(H28&gt;=200,H28&lt;=365),COLUMN(F41)+INT((H28-200)/5),COLUMN(AM41)))</f>
        <v>39</v>
      </c>
      <c r="M33" t="s">
        <v>321</v>
      </c>
    </row>
    <row r="34" spans="1:39" x14ac:dyDescent="0.25">
      <c r="A34">
        <v>34</v>
      </c>
      <c r="G34" t="s">
        <v>322</v>
      </c>
      <c r="H34" s="120">
        <f>MIN(272+(13116846/$H$28),6962)</f>
        <v>1197.8950117647057</v>
      </c>
    </row>
    <row r="35" spans="1:39" x14ac:dyDescent="0.25">
      <c r="A35">
        <v>35</v>
      </c>
      <c r="G35" t="s">
        <v>314</v>
      </c>
      <c r="H35" s="120">
        <f>+H32*((1+(2.23%*('Datos de entrada'!$B$5-2018))))</f>
        <v>-1444788.4548202681</v>
      </c>
    </row>
    <row r="36" spans="1:39" x14ac:dyDescent="0.25">
      <c r="A36">
        <v>36</v>
      </c>
    </row>
    <row r="37" spans="1:39" x14ac:dyDescent="0.25">
      <c r="A37">
        <v>37</v>
      </c>
    </row>
    <row r="38" spans="1:39" x14ac:dyDescent="0.25">
      <c r="A38">
        <v>38</v>
      </c>
    </row>
    <row r="39" spans="1:39" x14ac:dyDescent="0.25">
      <c r="A39">
        <v>39</v>
      </c>
      <c r="B39">
        <v>1</v>
      </c>
      <c r="C39">
        <v>2</v>
      </c>
      <c r="D39">
        <v>3</v>
      </c>
      <c r="E39">
        <v>1</v>
      </c>
      <c r="F39">
        <v>2</v>
      </c>
      <c r="G39">
        <v>3</v>
      </c>
      <c r="H39">
        <v>4</v>
      </c>
      <c r="I39">
        <v>5</v>
      </c>
      <c r="J39">
        <v>6</v>
      </c>
      <c r="K39">
        <v>7</v>
      </c>
      <c r="L39">
        <v>8</v>
      </c>
      <c r="M39">
        <v>9</v>
      </c>
      <c r="N39">
        <v>10</v>
      </c>
      <c r="O39">
        <v>11</v>
      </c>
      <c r="P39">
        <v>12</v>
      </c>
      <c r="Q39">
        <v>13</v>
      </c>
      <c r="R39">
        <v>14</v>
      </c>
      <c r="S39">
        <v>15</v>
      </c>
      <c r="T39">
        <v>16</v>
      </c>
      <c r="U39">
        <v>17</v>
      </c>
      <c r="V39">
        <v>18</v>
      </c>
      <c r="W39">
        <v>19</v>
      </c>
      <c r="X39">
        <v>20</v>
      </c>
      <c r="Y39">
        <v>21</v>
      </c>
      <c r="Z39">
        <v>22</v>
      </c>
      <c r="AA39">
        <v>23</v>
      </c>
      <c r="AB39">
        <v>24</v>
      </c>
      <c r="AC39">
        <v>25</v>
      </c>
      <c r="AD39">
        <v>29</v>
      </c>
      <c r="AE39">
        <v>30</v>
      </c>
      <c r="AF39">
        <v>31</v>
      </c>
      <c r="AG39">
        <v>32</v>
      </c>
      <c r="AH39">
        <v>33</v>
      </c>
      <c r="AI39">
        <v>34</v>
      </c>
      <c r="AJ39">
        <v>35</v>
      </c>
      <c r="AK39">
        <v>36</v>
      </c>
      <c r="AL39">
        <v>37</v>
      </c>
      <c r="AM39">
        <v>38</v>
      </c>
    </row>
    <row r="40" spans="1:39" x14ac:dyDescent="0.25">
      <c r="A40">
        <v>40</v>
      </c>
      <c r="E40" t="s">
        <v>323</v>
      </c>
    </row>
    <row r="41" spans="1:39" x14ac:dyDescent="0.25">
      <c r="A41">
        <v>41</v>
      </c>
      <c r="E41">
        <v>0</v>
      </c>
      <c r="F41">
        <v>200</v>
      </c>
      <c r="G41">
        <v>205</v>
      </c>
      <c r="H41">
        <v>210</v>
      </c>
      <c r="I41">
        <v>215</v>
      </c>
      <c r="J41">
        <v>220</v>
      </c>
      <c r="K41">
        <v>225</v>
      </c>
      <c r="L41">
        <v>230</v>
      </c>
      <c r="M41">
        <v>235</v>
      </c>
      <c r="N41">
        <v>240</v>
      </c>
      <c r="O41">
        <v>245</v>
      </c>
      <c r="P41">
        <v>250</v>
      </c>
      <c r="Q41">
        <v>255</v>
      </c>
      <c r="R41">
        <v>260</v>
      </c>
      <c r="S41">
        <v>265</v>
      </c>
      <c r="T41">
        <v>270</v>
      </c>
      <c r="U41">
        <v>275</v>
      </c>
      <c r="V41">
        <v>280</v>
      </c>
      <c r="W41">
        <v>285</v>
      </c>
      <c r="X41">
        <v>290</v>
      </c>
      <c r="Y41">
        <v>295</v>
      </c>
      <c r="Z41">
        <v>300</v>
      </c>
      <c r="AA41">
        <v>305</v>
      </c>
      <c r="AB41">
        <v>310</v>
      </c>
      <c r="AC41">
        <v>315</v>
      </c>
      <c r="AD41">
        <v>320</v>
      </c>
      <c r="AE41">
        <v>325</v>
      </c>
      <c r="AF41">
        <v>330</v>
      </c>
      <c r="AG41">
        <v>335</v>
      </c>
      <c r="AH41">
        <v>340</v>
      </c>
      <c r="AI41">
        <v>345</v>
      </c>
      <c r="AJ41">
        <v>350</v>
      </c>
      <c r="AK41">
        <v>355</v>
      </c>
      <c r="AL41">
        <v>360</v>
      </c>
      <c r="AM41">
        <v>365</v>
      </c>
    </row>
    <row r="42" spans="1:39" x14ac:dyDescent="0.25">
      <c r="A42">
        <v>42</v>
      </c>
      <c r="C42" s="284" t="s">
        <v>324</v>
      </c>
      <c r="D42" s="284"/>
      <c r="E42">
        <v>200</v>
      </c>
      <c r="F42">
        <v>205</v>
      </c>
      <c r="G42">
        <v>210</v>
      </c>
      <c r="H42">
        <v>215</v>
      </c>
      <c r="I42">
        <v>220</v>
      </c>
      <c r="J42">
        <v>225</v>
      </c>
      <c r="K42">
        <v>230</v>
      </c>
      <c r="L42">
        <v>235</v>
      </c>
      <c r="M42">
        <v>240</v>
      </c>
      <c r="N42">
        <v>245</v>
      </c>
      <c r="O42">
        <v>250</v>
      </c>
      <c r="P42">
        <v>255</v>
      </c>
      <c r="Q42">
        <v>260</v>
      </c>
      <c r="R42">
        <v>265</v>
      </c>
      <c r="S42">
        <v>270</v>
      </c>
      <c r="T42">
        <v>275</v>
      </c>
      <c r="U42">
        <v>280</v>
      </c>
      <c r="V42">
        <v>285</v>
      </c>
      <c r="W42">
        <v>290</v>
      </c>
      <c r="X42">
        <v>295</v>
      </c>
      <c r="Y42">
        <v>300</v>
      </c>
      <c r="Z42">
        <v>305</v>
      </c>
      <c r="AA42">
        <v>310</v>
      </c>
      <c r="AB42">
        <v>315</v>
      </c>
      <c r="AC42">
        <v>320</v>
      </c>
      <c r="AD42">
        <v>325</v>
      </c>
      <c r="AE42">
        <v>330</v>
      </c>
      <c r="AF42">
        <v>335</v>
      </c>
      <c r="AG42">
        <v>340</v>
      </c>
      <c r="AH42">
        <v>345</v>
      </c>
      <c r="AI42">
        <v>350</v>
      </c>
      <c r="AJ42">
        <v>355</v>
      </c>
      <c r="AK42">
        <v>360</v>
      </c>
      <c r="AL42">
        <v>365</v>
      </c>
      <c r="AM42">
        <v>10000000</v>
      </c>
    </row>
    <row r="43" spans="1:39" x14ac:dyDescent="0.25">
      <c r="A43">
        <v>43</v>
      </c>
      <c r="B43">
        <v>1</v>
      </c>
      <c r="C43">
        <v>0</v>
      </c>
      <c r="D43">
        <v>5</v>
      </c>
      <c r="E43" s="75">
        <v>109262</v>
      </c>
      <c r="F43" s="75">
        <v>107352</v>
      </c>
      <c r="G43" s="75">
        <v>105534</v>
      </c>
      <c r="H43" s="75">
        <v>103799</v>
      </c>
      <c r="I43" s="75">
        <v>102144</v>
      </c>
      <c r="J43" s="75">
        <v>100562</v>
      </c>
      <c r="K43" s="75">
        <v>99049</v>
      </c>
      <c r="L43" s="75">
        <v>97600</v>
      </c>
      <c r="M43" s="75">
        <v>96212</v>
      </c>
      <c r="N43" s="75">
        <v>94881</v>
      </c>
      <c r="O43" s="75">
        <v>93602</v>
      </c>
      <c r="P43" s="75">
        <v>92374</v>
      </c>
      <c r="Q43" s="75">
        <v>91193</v>
      </c>
      <c r="R43" s="75">
        <v>90056</v>
      </c>
      <c r="S43" s="75">
        <v>88962</v>
      </c>
      <c r="T43" s="75">
        <v>87908</v>
      </c>
      <c r="U43" s="75">
        <v>86891</v>
      </c>
      <c r="V43" s="75">
        <v>85910</v>
      </c>
      <c r="W43" s="75">
        <v>84962</v>
      </c>
      <c r="X43" s="75">
        <v>84047</v>
      </c>
      <c r="Y43" s="75">
        <v>83162</v>
      </c>
      <c r="Z43" s="75">
        <v>82306</v>
      </c>
      <c r="AA43" s="75">
        <v>81478</v>
      </c>
      <c r="AB43" s="75">
        <v>80676</v>
      </c>
      <c r="AC43" s="75">
        <v>79900</v>
      </c>
      <c r="AD43" s="75">
        <v>79147</v>
      </c>
      <c r="AE43" s="75">
        <v>78417</v>
      </c>
      <c r="AF43" s="75">
        <v>77708</v>
      </c>
      <c r="AG43" s="75">
        <v>77021</v>
      </c>
      <c r="AH43" s="75">
        <v>76354</v>
      </c>
      <c r="AI43" s="75">
        <v>75705</v>
      </c>
      <c r="AJ43" s="75">
        <v>75075</v>
      </c>
      <c r="AK43" s="75">
        <v>74462</v>
      </c>
      <c r="AL43" s="75">
        <v>73866</v>
      </c>
      <c r="AM43" s="75">
        <v>73287</v>
      </c>
    </row>
    <row r="44" spans="1:39" x14ac:dyDescent="0.25">
      <c r="A44">
        <v>44</v>
      </c>
      <c r="B44">
        <v>2</v>
      </c>
      <c r="C44">
        <v>5</v>
      </c>
      <c r="D44">
        <v>10</v>
      </c>
      <c r="E44" s="75">
        <v>114671</v>
      </c>
      <c r="F44" s="75">
        <v>112761</v>
      </c>
      <c r="G44" s="75">
        <v>110942</v>
      </c>
      <c r="H44" s="75">
        <v>109208</v>
      </c>
      <c r="I44" s="75">
        <v>107553</v>
      </c>
      <c r="J44" s="75">
        <v>105971</v>
      </c>
      <c r="K44" s="75">
        <v>104458</v>
      </c>
      <c r="L44" s="75">
        <v>103009</v>
      </c>
      <c r="M44" s="75">
        <v>101621</v>
      </c>
      <c r="N44" s="75">
        <v>100289</v>
      </c>
      <c r="O44" s="75">
        <v>99011</v>
      </c>
      <c r="P44" s="75">
        <v>97783</v>
      </c>
      <c r="Q44" s="75">
        <v>96602</v>
      </c>
      <c r="R44" s="75">
        <v>95465</v>
      </c>
      <c r="S44" s="75">
        <v>94371</v>
      </c>
      <c r="T44" s="75">
        <v>93316</v>
      </c>
      <c r="U44" s="75">
        <v>92299</v>
      </c>
      <c r="V44" s="75">
        <v>91318</v>
      </c>
      <c r="W44" s="75">
        <v>90371</v>
      </c>
      <c r="X44" s="75">
        <v>89456</v>
      </c>
      <c r="Y44" s="75">
        <v>88571</v>
      </c>
      <c r="Z44" s="75">
        <v>87715</v>
      </c>
      <c r="AA44" s="75">
        <v>86887</v>
      </c>
      <c r="AB44" s="75">
        <v>86085</v>
      </c>
      <c r="AC44" s="75">
        <v>85308</v>
      </c>
      <c r="AD44" s="75">
        <v>84555</v>
      </c>
      <c r="AE44" s="75">
        <v>83825</v>
      </c>
      <c r="AF44" s="75">
        <v>83117</v>
      </c>
      <c r="AG44" s="75">
        <v>82430</v>
      </c>
      <c r="AH44" s="75">
        <v>81762</v>
      </c>
      <c r="AI44" s="75">
        <v>81114</v>
      </c>
      <c r="AJ44" s="75">
        <v>80483</v>
      </c>
      <c r="AK44" s="75">
        <v>79871</v>
      </c>
      <c r="AL44" s="75">
        <v>79275</v>
      </c>
      <c r="AM44" s="75">
        <v>78695</v>
      </c>
    </row>
    <row r="45" spans="1:39" x14ac:dyDescent="0.25">
      <c r="A45">
        <v>45</v>
      </c>
      <c r="B45">
        <v>3</v>
      </c>
      <c r="C45">
        <v>10</v>
      </c>
      <c r="D45">
        <v>15</v>
      </c>
      <c r="E45" s="75">
        <v>120079</v>
      </c>
      <c r="F45" s="75">
        <v>118170</v>
      </c>
      <c r="G45" s="75">
        <v>116351</v>
      </c>
      <c r="H45" s="75">
        <v>114617</v>
      </c>
      <c r="I45" s="75">
        <v>112961</v>
      </c>
      <c r="J45" s="75">
        <v>111379</v>
      </c>
      <c r="K45" s="75">
        <v>109866</v>
      </c>
      <c r="L45" s="75">
        <v>108418</v>
      </c>
      <c r="M45" s="75">
        <v>107029</v>
      </c>
      <c r="N45" s="75">
        <v>105698</v>
      </c>
      <c r="O45" s="75">
        <v>104419</v>
      </c>
      <c r="P45" s="75">
        <v>103191</v>
      </c>
      <c r="Q45" s="75">
        <v>102010</v>
      </c>
      <c r="R45" s="75">
        <v>100874</v>
      </c>
      <c r="S45" s="75">
        <v>99779</v>
      </c>
      <c r="T45" s="75">
        <v>98725</v>
      </c>
      <c r="U45" s="75">
        <v>97708</v>
      </c>
      <c r="V45" s="75">
        <v>96727</v>
      </c>
      <c r="W45" s="75">
        <v>95779</v>
      </c>
      <c r="X45" s="75">
        <v>94864</v>
      </c>
      <c r="Y45" s="75">
        <v>93979</v>
      </c>
      <c r="Z45" s="75">
        <v>93124</v>
      </c>
      <c r="AA45" s="75">
        <v>92296</v>
      </c>
      <c r="AB45" s="75">
        <v>91494</v>
      </c>
      <c r="AC45" s="75">
        <v>90717</v>
      </c>
      <c r="AD45" s="75">
        <v>89964</v>
      </c>
      <c r="AE45" s="75">
        <v>89234</v>
      </c>
      <c r="AF45" s="75">
        <v>88526</v>
      </c>
      <c r="AG45" s="75">
        <v>87838</v>
      </c>
      <c r="AH45" s="75">
        <v>87171</v>
      </c>
      <c r="AI45" s="75">
        <v>86522</v>
      </c>
      <c r="AJ45" s="75">
        <v>85892</v>
      </c>
      <c r="AK45" s="75">
        <v>85279</v>
      </c>
      <c r="AL45" s="75">
        <v>84684</v>
      </c>
      <c r="AM45" s="75">
        <v>84104</v>
      </c>
    </row>
    <row r="46" spans="1:39" x14ac:dyDescent="0.25">
      <c r="A46">
        <v>46</v>
      </c>
      <c r="B46">
        <v>4</v>
      </c>
      <c r="C46">
        <v>15</v>
      </c>
      <c r="D46">
        <v>20</v>
      </c>
      <c r="E46" s="75">
        <v>125488</v>
      </c>
      <c r="F46" s="75">
        <v>123578</v>
      </c>
      <c r="G46" s="75">
        <v>121759</v>
      </c>
      <c r="H46" s="75">
        <v>120025</v>
      </c>
      <c r="I46" s="75">
        <v>118370</v>
      </c>
      <c r="J46" s="75">
        <v>116788</v>
      </c>
      <c r="K46" s="75">
        <v>115275</v>
      </c>
      <c r="L46" s="75">
        <v>113826</v>
      </c>
      <c r="M46" s="75">
        <v>112438</v>
      </c>
      <c r="N46" s="75">
        <v>111106</v>
      </c>
      <c r="O46" s="75">
        <v>109828</v>
      </c>
      <c r="P46" s="75">
        <v>108600</v>
      </c>
      <c r="Q46" s="75">
        <v>107419</v>
      </c>
      <c r="R46" s="75">
        <v>106282</v>
      </c>
      <c r="S46" s="75">
        <v>105188</v>
      </c>
      <c r="T46" s="75">
        <v>104133</v>
      </c>
      <c r="U46" s="75">
        <v>103117</v>
      </c>
      <c r="V46" s="75">
        <v>102135</v>
      </c>
      <c r="W46" s="75">
        <v>101188</v>
      </c>
      <c r="X46" s="75">
        <v>100273</v>
      </c>
      <c r="Y46" s="75">
        <v>99388</v>
      </c>
      <c r="Z46" s="75">
        <v>98532</v>
      </c>
      <c r="AA46" s="75">
        <v>97704</v>
      </c>
      <c r="AB46" s="75">
        <v>96902</v>
      </c>
      <c r="AC46" s="75">
        <v>96125</v>
      </c>
      <c r="AD46" s="75">
        <v>95373</v>
      </c>
      <c r="AE46" s="75">
        <v>94643</v>
      </c>
      <c r="AF46" s="75">
        <v>93934</v>
      </c>
      <c r="AG46" s="75">
        <v>93247</v>
      </c>
      <c r="AH46" s="75">
        <v>92579</v>
      </c>
      <c r="AI46" s="75">
        <v>91931</v>
      </c>
      <c r="AJ46" s="75">
        <v>91301</v>
      </c>
      <c r="AK46" s="75">
        <v>90688</v>
      </c>
      <c r="AL46" s="75">
        <v>90092</v>
      </c>
      <c r="AM46" s="75">
        <v>89512</v>
      </c>
    </row>
    <row r="47" spans="1:39" x14ac:dyDescent="0.25">
      <c r="A47">
        <v>47</v>
      </c>
      <c r="B47">
        <v>5</v>
      </c>
      <c r="C47">
        <v>20</v>
      </c>
      <c r="D47">
        <v>25</v>
      </c>
      <c r="E47" s="75">
        <v>130896</v>
      </c>
      <c r="F47" s="75">
        <v>128987</v>
      </c>
      <c r="G47" s="75">
        <v>127168</v>
      </c>
      <c r="H47" s="75">
        <v>125434</v>
      </c>
      <c r="I47" s="75">
        <v>123778</v>
      </c>
      <c r="J47" s="75">
        <v>122197</v>
      </c>
      <c r="K47" s="75">
        <v>120683</v>
      </c>
      <c r="L47" s="75">
        <v>119235</v>
      </c>
      <c r="M47" s="75">
        <v>117847</v>
      </c>
      <c r="N47" s="75">
        <v>116515</v>
      </c>
      <c r="O47" s="75">
        <v>115237</v>
      </c>
      <c r="P47" s="75">
        <v>114008</v>
      </c>
      <c r="Q47" s="75">
        <v>112827</v>
      </c>
      <c r="R47" s="75">
        <v>111691</v>
      </c>
      <c r="S47" s="75">
        <v>110597</v>
      </c>
      <c r="T47" s="75">
        <v>109542</v>
      </c>
      <c r="U47" s="75">
        <v>108525</v>
      </c>
      <c r="V47" s="75">
        <v>107544</v>
      </c>
      <c r="W47" s="75">
        <v>106597</v>
      </c>
      <c r="X47" s="75">
        <v>105681</v>
      </c>
      <c r="Y47" s="75">
        <v>104797</v>
      </c>
      <c r="Z47" s="75">
        <v>103941</v>
      </c>
      <c r="AA47" s="75">
        <v>103113</v>
      </c>
      <c r="AB47" s="75">
        <v>102311</v>
      </c>
      <c r="AC47" s="75">
        <v>101534</v>
      </c>
      <c r="AD47" s="75">
        <v>100781</v>
      </c>
      <c r="AE47" s="75">
        <v>100051</v>
      </c>
      <c r="AF47" s="75">
        <v>99343</v>
      </c>
      <c r="AG47" s="75">
        <v>98655</v>
      </c>
      <c r="AH47" s="75">
        <v>97988</v>
      </c>
      <c r="AI47" s="75">
        <v>97339</v>
      </c>
      <c r="AJ47" s="75">
        <v>96709</v>
      </c>
      <c r="AK47" s="75">
        <v>96097</v>
      </c>
      <c r="AL47" s="75">
        <v>95501</v>
      </c>
      <c r="AM47" s="75">
        <v>94921</v>
      </c>
    </row>
    <row r="48" spans="1:39" x14ac:dyDescent="0.25">
      <c r="A48">
        <v>48</v>
      </c>
      <c r="B48">
        <v>6</v>
      </c>
      <c r="C48">
        <v>25</v>
      </c>
      <c r="D48">
        <v>30</v>
      </c>
      <c r="E48" s="75">
        <v>136305</v>
      </c>
      <c r="F48" s="75">
        <v>134395</v>
      </c>
      <c r="G48" s="75">
        <v>132577</v>
      </c>
      <c r="H48" s="75">
        <v>130842</v>
      </c>
      <c r="I48" s="75">
        <v>129187</v>
      </c>
      <c r="J48" s="75">
        <v>127605</v>
      </c>
      <c r="K48" s="75">
        <v>126092</v>
      </c>
      <c r="L48" s="75">
        <v>124643</v>
      </c>
      <c r="M48" s="75">
        <v>123255</v>
      </c>
      <c r="N48" s="75">
        <v>121924</v>
      </c>
      <c r="O48" s="75">
        <v>120645</v>
      </c>
      <c r="P48" s="75">
        <v>119417</v>
      </c>
      <c r="Q48" s="75">
        <v>118236</v>
      </c>
      <c r="R48" s="75">
        <v>117099</v>
      </c>
      <c r="S48" s="75">
        <v>116005</v>
      </c>
      <c r="T48" s="75">
        <v>114951</v>
      </c>
      <c r="U48" s="75">
        <v>113934</v>
      </c>
      <c r="V48" s="75">
        <v>112953</v>
      </c>
      <c r="W48" s="75">
        <v>112005</v>
      </c>
      <c r="X48" s="75">
        <v>111090</v>
      </c>
      <c r="Y48" s="75">
        <v>110205</v>
      </c>
      <c r="Z48" s="75">
        <v>109349</v>
      </c>
      <c r="AA48" s="75">
        <v>108521</v>
      </c>
      <c r="AB48" s="75">
        <v>107719</v>
      </c>
      <c r="AC48" s="75">
        <v>106943</v>
      </c>
      <c r="AD48" s="75">
        <v>106190</v>
      </c>
      <c r="AE48" s="75">
        <v>105460</v>
      </c>
      <c r="AF48" s="75">
        <v>104751</v>
      </c>
      <c r="AG48" s="75">
        <v>104064</v>
      </c>
      <c r="AH48" s="75">
        <v>103397</v>
      </c>
      <c r="AI48" s="75">
        <v>102748</v>
      </c>
      <c r="AJ48" s="75">
        <v>102118</v>
      </c>
      <c r="AK48" s="75">
        <v>101505</v>
      </c>
      <c r="AL48" s="75">
        <v>100909</v>
      </c>
      <c r="AM48" s="75">
        <v>100330</v>
      </c>
    </row>
    <row r="49" spans="1:39" x14ac:dyDescent="0.25">
      <c r="A49">
        <v>49</v>
      </c>
      <c r="B49">
        <v>7</v>
      </c>
      <c r="C49">
        <v>30</v>
      </c>
      <c r="D49">
        <v>35</v>
      </c>
      <c r="E49" s="75">
        <v>141714</v>
      </c>
      <c r="F49" s="75">
        <v>139804</v>
      </c>
      <c r="G49" s="75">
        <v>137985</v>
      </c>
      <c r="H49" s="75">
        <v>136251</v>
      </c>
      <c r="I49" s="75">
        <v>134596</v>
      </c>
      <c r="J49" s="75">
        <v>133014</v>
      </c>
      <c r="K49" s="75">
        <v>131501</v>
      </c>
      <c r="L49" s="75">
        <v>130052</v>
      </c>
      <c r="M49" s="75">
        <v>128664</v>
      </c>
      <c r="N49" s="75">
        <v>127332</v>
      </c>
      <c r="O49" s="75">
        <v>126054</v>
      </c>
      <c r="P49" s="75">
        <v>124826</v>
      </c>
      <c r="Q49" s="75">
        <v>123645</v>
      </c>
      <c r="R49" s="75">
        <v>122508</v>
      </c>
      <c r="S49" s="75">
        <v>121414</v>
      </c>
      <c r="T49" s="75">
        <v>120359</v>
      </c>
      <c r="U49" s="75">
        <v>119342</v>
      </c>
      <c r="V49" s="75">
        <v>118361</v>
      </c>
      <c r="W49" s="75">
        <v>117414</v>
      </c>
      <c r="X49" s="75">
        <v>116499</v>
      </c>
      <c r="Y49" s="75">
        <v>115614</v>
      </c>
      <c r="Z49" s="75">
        <v>114758</v>
      </c>
      <c r="AA49" s="75">
        <v>113930</v>
      </c>
      <c r="AB49" s="75">
        <v>113128</v>
      </c>
      <c r="AC49" s="75">
        <v>112351</v>
      </c>
      <c r="AD49" s="75">
        <v>111598</v>
      </c>
      <c r="AE49" s="75">
        <v>110868</v>
      </c>
      <c r="AF49" s="75">
        <v>110160</v>
      </c>
      <c r="AG49" s="75">
        <v>109473</v>
      </c>
      <c r="AH49" s="75">
        <v>108805</v>
      </c>
      <c r="AI49" s="75">
        <v>108157</v>
      </c>
      <c r="AJ49" s="75">
        <v>107526</v>
      </c>
      <c r="AK49" s="75">
        <v>106914</v>
      </c>
      <c r="AL49" s="75">
        <v>106318</v>
      </c>
      <c r="AM49" s="75">
        <v>105738</v>
      </c>
    </row>
    <row r="50" spans="1:39" x14ac:dyDescent="0.25">
      <c r="A50">
        <v>50</v>
      </c>
      <c r="B50">
        <v>8</v>
      </c>
      <c r="C50">
        <v>35</v>
      </c>
      <c r="D50">
        <v>40</v>
      </c>
      <c r="E50" s="75">
        <v>147122</v>
      </c>
      <c r="F50" s="75">
        <v>145213</v>
      </c>
      <c r="G50" s="75">
        <v>143394</v>
      </c>
      <c r="H50" s="75">
        <v>141660</v>
      </c>
      <c r="I50" s="75">
        <v>140004</v>
      </c>
      <c r="J50" s="75">
        <v>138422</v>
      </c>
      <c r="K50" s="75">
        <v>136909</v>
      </c>
      <c r="L50" s="75">
        <v>135461</v>
      </c>
      <c r="M50" s="75">
        <v>134072</v>
      </c>
      <c r="N50" s="75">
        <v>132741</v>
      </c>
      <c r="O50" s="75">
        <v>131462</v>
      </c>
      <c r="P50" s="75">
        <v>130234</v>
      </c>
      <c r="Q50" s="75">
        <v>129053</v>
      </c>
      <c r="R50" s="75">
        <v>127917</v>
      </c>
      <c r="S50" s="75">
        <v>126822</v>
      </c>
      <c r="T50" s="75">
        <v>125768</v>
      </c>
      <c r="U50" s="75">
        <v>124751</v>
      </c>
      <c r="V50" s="75">
        <v>123770</v>
      </c>
      <c r="W50" s="75">
        <v>122822</v>
      </c>
      <c r="X50" s="75">
        <v>121907</v>
      </c>
      <c r="Y50" s="75">
        <v>121022</v>
      </c>
      <c r="Z50" s="75">
        <v>120167</v>
      </c>
      <c r="AA50" s="75">
        <v>119339</v>
      </c>
      <c r="AB50" s="75">
        <v>118537</v>
      </c>
      <c r="AC50" s="75">
        <v>117760</v>
      </c>
      <c r="AD50" s="75">
        <v>117007</v>
      </c>
      <c r="AE50" s="75">
        <v>116277</v>
      </c>
      <c r="AF50" s="75">
        <v>115569</v>
      </c>
      <c r="AG50" s="75">
        <v>114881</v>
      </c>
      <c r="AH50" s="75">
        <v>114214</v>
      </c>
      <c r="AI50" s="75">
        <v>113565</v>
      </c>
      <c r="AJ50" s="75">
        <v>112935</v>
      </c>
      <c r="AK50" s="75">
        <v>112322</v>
      </c>
      <c r="AL50" s="75">
        <v>111727</v>
      </c>
      <c r="AM50" s="75">
        <v>111147</v>
      </c>
    </row>
    <row r="51" spans="1:39" x14ac:dyDescent="0.25">
      <c r="A51">
        <v>51</v>
      </c>
      <c r="B51">
        <v>9</v>
      </c>
      <c r="C51">
        <v>40</v>
      </c>
      <c r="D51">
        <v>45</v>
      </c>
      <c r="E51" s="75">
        <v>152531</v>
      </c>
      <c r="F51" s="75">
        <v>150621</v>
      </c>
      <c r="G51" s="75">
        <v>148802</v>
      </c>
      <c r="H51" s="75">
        <v>147068</v>
      </c>
      <c r="I51" s="75">
        <v>145413</v>
      </c>
      <c r="J51" s="75">
        <v>143831</v>
      </c>
      <c r="K51" s="75">
        <v>142318</v>
      </c>
      <c r="L51" s="75">
        <v>140869</v>
      </c>
      <c r="M51" s="75">
        <v>139481</v>
      </c>
      <c r="N51" s="75">
        <v>138149</v>
      </c>
      <c r="O51" s="75">
        <v>136871</v>
      </c>
      <c r="P51" s="75">
        <v>135643</v>
      </c>
      <c r="Q51" s="75">
        <v>134462</v>
      </c>
      <c r="R51" s="75">
        <v>133325</v>
      </c>
      <c r="S51" s="75">
        <v>132231</v>
      </c>
      <c r="T51" s="75">
        <v>131176</v>
      </c>
      <c r="U51" s="75">
        <v>130160</v>
      </c>
      <c r="V51" s="75">
        <v>129178</v>
      </c>
      <c r="W51" s="75">
        <v>128231</v>
      </c>
      <c r="X51" s="75">
        <v>127316</v>
      </c>
      <c r="Y51" s="75">
        <v>126431</v>
      </c>
      <c r="Z51" s="75">
        <v>125575</v>
      </c>
      <c r="AA51" s="75">
        <v>124747</v>
      </c>
      <c r="AB51" s="75">
        <v>123945</v>
      </c>
      <c r="AC51" s="75">
        <v>123168</v>
      </c>
      <c r="AD51" s="75">
        <v>122416</v>
      </c>
      <c r="AE51" s="75">
        <v>121686</v>
      </c>
      <c r="AF51" s="75">
        <v>120977</v>
      </c>
      <c r="AG51" s="75">
        <v>120290</v>
      </c>
      <c r="AH51" s="75">
        <v>119622</v>
      </c>
      <c r="AI51" s="75">
        <v>118974</v>
      </c>
      <c r="AJ51" s="75">
        <v>118344</v>
      </c>
      <c r="AK51" s="75">
        <v>117731</v>
      </c>
      <c r="AL51" s="75">
        <v>117135</v>
      </c>
      <c r="AM51" s="75">
        <v>116555</v>
      </c>
    </row>
    <row r="52" spans="1:39" x14ac:dyDescent="0.25">
      <c r="A52">
        <v>52</v>
      </c>
      <c r="B52">
        <v>10</v>
      </c>
      <c r="C52">
        <v>45</v>
      </c>
      <c r="D52">
        <v>50</v>
      </c>
      <c r="E52" s="75">
        <v>157939</v>
      </c>
      <c r="F52" s="75">
        <v>156030</v>
      </c>
      <c r="G52" s="75">
        <v>154211</v>
      </c>
      <c r="H52" s="75">
        <v>152477</v>
      </c>
      <c r="I52" s="75">
        <v>150821</v>
      </c>
      <c r="J52" s="75">
        <v>149240</v>
      </c>
      <c r="K52" s="75">
        <v>147726</v>
      </c>
      <c r="L52" s="75">
        <v>146278</v>
      </c>
      <c r="M52" s="75">
        <v>144890</v>
      </c>
      <c r="N52" s="75">
        <v>143558</v>
      </c>
      <c r="O52" s="75">
        <v>142280</v>
      </c>
      <c r="P52" s="75">
        <v>141051</v>
      </c>
      <c r="Q52" s="75">
        <v>139870</v>
      </c>
      <c r="R52" s="75">
        <v>138734</v>
      </c>
      <c r="S52" s="75">
        <v>137640</v>
      </c>
      <c r="T52" s="75">
        <v>136585</v>
      </c>
      <c r="U52" s="75">
        <v>135568</v>
      </c>
      <c r="V52" s="75">
        <v>134587</v>
      </c>
      <c r="W52" s="75">
        <v>133640</v>
      </c>
      <c r="X52" s="75">
        <v>132724</v>
      </c>
      <c r="Y52" s="75">
        <v>131840</v>
      </c>
      <c r="Z52" s="75">
        <v>130984</v>
      </c>
      <c r="AA52" s="75">
        <v>130156</v>
      </c>
      <c r="AB52" s="75">
        <v>129354</v>
      </c>
      <c r="AC52" s="75">
        <v>128577</v>
      </c>
      <c r="AD52" s="75">
        <v>127824</v>
      </c>
      <c r="AE52" s="75">
        <v>127094</v>
      </c>
      <c r="AF52" s="75">
        <v>126386</v>
      </c>
      <c r="AG52" s="75">
        <v>125698</v>
      </c>
      <c r="AH52" s="75">
        <v>125031</v>
      </c>
      <c r="AI52" s="75">
        <v>124382</v>
      </c>
      <c r="AJ52" s="75">
        <v>123752</v>
      </c>
      <c r="AK52" s="75">
        <v>123140</v>
      </c>
      <c r="AL52" s="75">
        <v>122544</v>
      </c>
      <c r="AM52" s="75">
        <v>121964</v>
      </c>
    </row>
    <row r="53" spans="1:39" x14ac:dyDescent="0.25">
      <c r="A53">
        <v>53</v>
      </c>
      <c r="B53">
        <v>11</v>
      </c>
      <c r="C53">
        <v>50</v>
      </c>
      <c r="D53">
        <v>55</v>
      </c>
      <c r="E53" s="75">
        <v>163348</v>
      </c>
      <c r="F53" s="75">
        <v>161438</v>
      </c>
      <c r="G53" s="75">
        <v>159620</v>
      </c>
      <c r="H53" s="75">
        <v>157885</v>
      </c>
      <c r="I53" s="75">
        <v>156230</v>
      </c>
      <c r="J53" s="75">
        <v>154648</v>
      </c>
      <c r="K53" s="75">
        <v>153135</v>
      </c>
      <c r="L53" s="75">
        <v>151686</v>
      </c>
      <c r="M53" s="75">
        <v>150298</v>
      </c>
      <c r="N53" s="75">
        <v>148967</v>
      </c>
      <c r="O53" s="75">
        <v>147688</v>
      </c>
      <c r="P53" s="75">
        <v>146460</v>
      </c>
      <c r="Q53" s="75">
        <v>145279</v>
      </c>
      <c r="R53" s="75">
        <v>144143</v>
      </c>
      <c r="S53" s="75">
        <v>143048</v>
      </c>
      <c r="T53" s="75">
        <v>141994</v>
      </c>
      <c r="U53" s="75">
        <v>140977</v>
      </c>
      <c r="V53" s="75">
        <v>139996</v>
      </c>
      <c r="W53" s="75">
        <v>139048</v>
      </c>
      <c r="X53" s="75">
        <v>138133</v>
      </c>
      <c r="Y53" s="75">
        <v>137248</v>
      </c>
      <c r="Z53" s="75">
        <v>136392</v>
      </c>
      <c r="AA53" s="75">
        <v>135564</v>
      </c>
      <c r="AB53" s="75">
        <v>134762</v>
      </c>
      <c r="AC53" s="75">
        <v>133986</v>
      </c>
      <c r="AD53" s="75">
        <v>133233</v>
      </c>
      <c r="AE53" s="75">
        <v>132503</v>
      </c>
      <c r="AF53" s="75">
        <v>131794</v>
      </c>
      <c r="AG53" s="75">
        <v>131107</v>
      </c>
      <c r="AH53" s="75">
        <v>130440</v>
      </c>
      <c r="AI53" s="75">
        <v>129791</v>
      </c>
      <c r="AJ53" s="75">
        <v>129161</v>
      </c>
      <c r="AK53" s="75">
        <v>128548</v>
      </c>
      <c r="AL53" s="75">
        <v>127952</v>
      </c>
      <c r="AM53" s="75">
        <v>127373</v>
      </c>
    </row>
    <row r="54" spans="1:39" x14ac:dyDescent="0.25">
      <c r="A54">
        <v>54</v>
      </c>
      <c r="B54">
        <v>12</v>
      </c>
      <c r="C54">
        <v>55</v>
      </c>
      <c r="D54">
        <v>60</v>
      </c>
      <c r="E54" s="75">
        <v>168757</v>
      </c>
      <c r="F54" s="75">
        <v>166847</v>
      </c>
      <c r="G54" s="75">
        <v>165028</v>
      </c>
      <c r="H54" s="75">
        <v>163294</v>
      </c>
      <c r="I54" s="75">
        <v>161639</v>
      </c>
      <c r="J54" s="75">
        <v>160057</v>
      </c>
      <c r="K54" s="75">
        <v>158544</v>
      </c>
      <c r="L54" s="75">
        <v>157095</v>
      </c>
      <c r="M54" s="75">
        <v>155707</v>
      </c>
      <c r="N54" s="75">
        <v>154375</v>
      </c>
      <c r="O54" s="75">
        <v>153097</v>
      </c>
      <c r="P54" s="75">
        <v>151869</v>
      </c>
      <c r="Q54" s="75">
        <v>150688</v>
      </c>
      <c r="R54" s="75">
        <v>149551</v>
      </c>
      <c r="S54" s="75">
        <v>148457</v>
      </c>
      <c r="T54" s="75">
        <v>147402</v>
      </c>
      <c r="U54" s="75">
        <v>146385</v>
      </c>
      <c r="V54" s="75">
        <v>145404</v>
      </c>
      <c r="W54" s="75">
        <v>144457</v>
      </c>
      <c r="X54" s="75">
        <v>143542</v>
      </c>
      <c r="Y54" s="75">
        <v>142657</v>
      </c>
      <c r="Z54" s="75">
        <v>141801</v>
      </c>
      <c r="AA54" s="75">
        <v>140973</v>
      </c>
      <c r="AB54" s="75">
        <v>140171</v>
      </c>
      <c r="AC54" s="75">
        <v>139394</v>
      </c>
      <c r="AD54" s="75">
        <v>138641</v>
      </c>
      <c r="AE54" s="75">
        <v>137911</v>
      </c>
      <c r="AF54" s="75">
        <v>137203</v>
      </c>
      <c r="AG54" s="75">
        <v>136516</v>
      </c>
      <c r="AH54" s="75">
        <v>135848</v>
      </c>
      <c r="AI54" s="75">
        <v>135200</v>
      </c>
      <c r="AJ54" s="75">
        <v>134569</v>
      </c>
      <c r="AK54" s="75">
        <v>133957</v>
      </c>
      <c r="AL54" s="75">
        <v>133361</v>
      </c>
      <c r="AM54" s="75">
        <v>132781</v>
      </c>
    </row>
    <row r="55" spans="1:39" x14ac:dyDescent="0.25">
      <c r="A55">
        <v>55</v>
      </c>
      <c r="B55">
        <v>13</v>
      </c>
      <c r="C55">
        <v>60</v>
      </c>
      <c r="D55">
        <v>65</v>
      </c>
      <c r="E55" s="75">
        <v>174165</v>
      </c>
      <c r="F55" s="75">
        <v>172256</v>
      </c>
      <c r="G55" s="75">
        <v>170437</v>
      </c>
      <c r="H55" s="75">
        <v>168703</v>
      </c>
      <c r="I55" s="75">
        <v>167047</v>
      </c>
      <c r="J55" s="75">
        <v>165465</v>
      </c>
      <c r="K55" s="75">
        <v>163952</v>
      </c>
      <c r="L55" s="75">
        <v>162504</v>
      </c>
      <c r="M55" s="75">
        <v>161115</v>
      </c>
      <c r="N55" s="75">
        <v>159784</v>
      </c>
      <c r="O55" s="75">
        <v>158505</v>
      </c>
      <c r="P55" s="75">
        <v>157277</v>
      </c>
      <c r="Q55" s="75">
        <v>156096</v>
      </c>
      <c r="R55" s="75">
        <v>154960</v>
      </c>
      <c r="S55" s="75">
        <v>153865</v>
      </c>
      <c r="T55" s="75">
        <v>152811</v>
      </c>
      <c r="U55" s="75">
        <v>151794</v>
      </c>
      <c r="V55" s="75">
        <v>150813</v>
      </c>
      <c r="W55" s="75">
        <v>149865</v>
      </c>
      <c r="X55" s="75">
        <v>148950</v>
      </c>
      <c r="Y55" s="75">
        <v>148065</v>
      </c>
      <c r="Z55" s="75">
        <v>147210</v>
      </c>
      <c r="AA55" s="75">
        <v>146382</v>
      </c>
      <c r="AB55" s="75">
        <v>145580</v>
      </c>
      <c r="AC55" s="75">
        <v>144803</v>
      </c>
      <c r="AD55" s="75">
        <v>144050</v>
      </c>
      <c r="AE55" s="75">
        <v>143320</v>
      </c>
      <c r="AF55" s="75">
        <v>142612</v>
      </c>
      <c r="AG55" s="75">
        <v>141924</v>
      </c>
      <c r="AH55" s="75">
        <v>141257</v>
      </c>
      <c r="AI55" s="75">
        <v>140608</v>
      </c>
      <c r="AJ55" s="75">
        <v>139978</v>
      </c>
      <c r="AK55" s="75">
        <v>139365</v>
      </c>
      <c r="AL55" s="75">
        <v>138770</v>
      </c>
      <c r="AM55" s="75">
        <v>138190</v>
      </c>
    </row>
    <row r="56" spans="1:39" x14ac:dyDescent="0.25">
      <c r="A56">
        <v>56</v>
      </c>
      <c r="B56">
        <v>14</v>
      </c>
      <c r="C56">
        <v>65</v>
      </c>
      <c r="D56">
        <v>70</v>
      </c>
      <c r="E56" s="75">
        <v>179574</v>
      </c>
      <c r="F56" s="75">
        <v>177664</v>
      </c>
      <c r="G56" s="75">
        <v>175845</v>
      </c>
      <c r="H56" s="75">
        <v>174111</v>
      </c>
      <c r="I56" s="75">
        <v>172456</v>
      </c>
      <c r="J56" s="75">
        <v>170874</v>
      </c>
      <c r="K56" s="75">
        <v>169361</v>
      </c>
      <c r="L56" s="75">
        <v>167912</v>
      </c>
      <c r="M56" s="75">
        <v>166524</v>
      </c>
      <c r="N56" s="75">
        <v>165192</v>
      </c>
      <c r="O56" s="75">
        <v>163914</v>
      </c>
      <c r="P56" s="75">
        <v>162686</v>
      </c>
      <c r="Q56" s="75">
        <v>161505</v>
      </c>
      <c r="R56" s="75">
        <v>160368</v>
      </c>
      <c r="S56" s="75">
        <v>159274</v>
      </c>
      <c r="T56" s="75">
        <v>158219</v>
      </c>
      <c r="U56" s="75">
        <v>157203</v>
      </c>
      <c r="V56" s="75">
        <v>156221</v>
      </c>
      <c r="W56" s="75">
        <v>155274</v>
      </c>
      <c r="X56" s="75">
        <v>154359</v>
      </c>
      <c r="Y56" s="75">
        <v>153474</v>
      </c>
      <c r="Z56" s="75">
        <v>152618</v>
      </c>
      <c r="AA56" s="75">
        <v>151790</v>
      </c>
      <c r="AB56" s="75">
        <v>150988</v>
      </c>
      <c r="AC56" s="75">
        <v>150212</v>
      </c>
      <c r="AD56" s="75">
        <v>149459</v>
      </c>
      <c r="AE56" s="75">
        <v>148729</v>
      </c>
      <c r="AF56" s="75">
        <v>148020</v>
      </c>
      <c r="AG56" s="75">
        <v>147333</v>
      </c>
      <c r="AH56" s="75">
        <v>146665</v>
      </c>
      <c r="AI56" s="75">
        <v>146017</v>
      </c>
      <c r="AJ56" s="75">
        <v>145387</v>
      </c>
      <c r="AK56" s="75">
        <v>144774</v>
      </c>
      <c r="AL56" s="75">
        <v>144178</v>
      </c>
      <c r="AM56" s="75">
        <v>143598</v>
      </c>
    </row>
    <row r="57" spans="1:39" x14ac:dyDescent="0.25">
      <c r="A57">
        <v>57</v>
      </c>
      <c r="B57">
        <v>15</v>
      </c>
      <c r="C57">
        <v>70</v>
      </c>
      <c r="D57">
        <v>75</v>
      </c>
      <c r="E57" s="75">
        <v>184982</v>
      </c>
      <c r="F57" s="75">
        <v>183073</v>
      </c>
      <c r="G57" s="75">
        <v>181254</v>
      </c>
      <c r="H57" s="75">
        <v>179520</v>
      </c>
      <c r="I57" s="75">
        <v>177864</v>
      </c>
      <c r="J57" s="75">
        <v>176283</v>
      </c>
      <c r="K57" s="75">
        <v>174769</v>
      </c>
      <c r="L57" s="75">
        <v>173321</v>
      </c>
      <c r="M57" s="75">
        <v>171933</v>
      </c>
      <c r="N57" s="75">
        <v>170601</v>
      </c>
      <c r="O57" s="75">
        <v>169323</v>
      </c>
      <c r="P57" s="75">
        <v>168094</v>
      </c>
      <c r="Q57" s="75">
        <v>166913</v>
      </c>
      <c r="R57" s="75">
        <v>165777</v>
      </c>
      <c r="S57" s="75">
        <v>164683</v>
      </c>
      <c r="T57" s="75">
        <v>163628</v>
      </c>
      <c r="U57" s="75">
        <v>162611</v>
      </c>
      <c r="V57" s="75">
        <v>161630</v>
      </c>
      <c r="W57" s="75">
        <v>160683</v>
      </c>
      <c r="X57" s="75">
        <v>159767</v>
      </c>
      <c r="Y57" s="75">
        <v>158883</v>
      </c>
      <c r="Z57" s="75">
        <v>158027</v>
      </c>
      <c r="AA57" s="75">
        <v>157199</v>
      </c>
      <c r="AB57" s="75">
        <v>156397</v>
      </c>
      <c r="AC57" s="75">
        <v>155620</v>
      </c>
      <c r="AD57" s="75">
        <v>154867</v>
      </c>
      <c r="AE57" s="75">
        <v>154137</v>
      </c>
      <c r="AF57" s="75">
        <v>153429</v>
      </c>
      <c r="AG57" s="75">
        <v>152741</v>
      </c>
      <c r="AH57" s="75">
        <v>152074</v>
      </c>
      <c r="AI57" s="75">
        <v>151425</v>
      </c>
      <c r="AJ57" s="75">
        <v>150795</v>
      </c>
      <c r="AK57" s="75">
        <v>150183</v>
      </c>
      <c r="AL57" s="75">
        <v>149587</v>
      </c>
      <c r="AM57" s="75">
        <v>149007</v>
      </c>
    </row>
    <row r="58" spans="1:39" x14ac:dyDescent="0.25">
      <c r="A58">
        <v>58</v>
      </c>
      <c r="B58">
        <v>16</v>
      </c>
      <c r="C58">
        <v>75</v>
      </c>
      <c r="D58">
        <v>80</v>
      </c>
      <c r="E58" s="75">
        <v>190391</v>
      </c>
      <c r="F58" s="75">
        <v>188481</v>
      </c>
      <c r="G58" s="75">
        <v>186663</v>
      </c>
      <c r="H58" s="75">
        <v>184928</v>
      </c>
      <c r="I58" s="75">
        <v>183273</v>
      </c>
      <c r="J58" s="75">
        <v>181691</v>
      </c>
      <c r="K58" s="75">
        <v>180178</v>
      </c>
      <c r="L58" s="75">
        <v>178729</v>
      </c>
      <c r="M58" s="75">
        <v>177341</v>
      </c>
      <c r="N58" s="75">
        <v>176010</v>
      </c>
      <c r="O58" s="75">
        <v>174731</v>
      </c>
      <c r="P58" s="75">
        <v>173503</v>
      </c>
      <c r="Q58" s="75">
        <v>172322</v>
      </c>
      <c r="R58" s="75">
        <v>171186</v>
      </c>
      <c r="S58" s="75">
        <v>170091</v>
      </c>
      <c r="T58" s="75">
        <v>169037</v>
      </c>
      <c r="U58" s="75">
        <v>168020</v>
      </c>
      <c r="V58" s="75">
        <v>167039</v>
      </c>
      <c r="W58" s="75">
        <v>166091</v>
      </c>
      <c r="X58" s="75">
        <v>165176</v>
      </c>
      <c r="Y58" s="75">
        <v>164291</v>
      </c>
      <c r="Z58" s="75">
        <v>163435</v>
      </c>
      <c r="AA58" s="75">
        <v>162607</v>
      </c>
      <c r="AB58" s="75">
        <v>161805</v>
      </c>
      <c r="AC58" s="75">
        <v>161029</v>
      </c>
      <c r="AD58" s="75">
        <v>160276</v>
      </c>
      <c r="AE58" s="75">
        <v>159546</v>
      </c>
      <c r="AF58" s="75">
        <v>158837</v>
      </c>
      <c r="AG58" s="75">
        <v>158150</v>
      </c>
      <c r="AH58" s="75">
        <v>157483</v>
      </c>
      <c r="AI58" s="75">
        <v>156834</v>
      </c>
      <c r="AJ58" s="75">
        <v>156204</v>
      </c>
      <c r="AK58" s="75">
        <v>155591</v>
      </c>
      <c r="AL58" s="75">
        <v>154995</v>
      </c>
      <c r="AM58" s="75">
        <v>154416</v>
      </c>
    </row>
    <row r="59" spans="1:39" x14ac:dyDescent="0.25">
      <c r="A59">
        <v>59</v>
      </c>
      <c r="B59">
        <v>17</v>
      </c>
      <c r="C59">
        <v>80</v>
      </c>
      <c r="D59">
        <v>85</v>
      </c>
      <c r="E59" s="75">
        <v>195800</v>
      </c>
      <c r="F59" s="75">
        <v>193890</v>
      </c>
      <c r="G59" s="75">
        <v>192071</v>
      </c>
      <c r="H59" s="75">
        <v>190337</v>
      </c>
      <c r="I59" s="75">
        <v>188682</v>
      </c>
      <c r="J59" s="75">
        <v>187100</v>
      </c>
      <c r="K59" s="75">
        <v>185587</v>
      </c>
      <c r="L59" s="75">
        <v>184138</v>
      </c>
      <c r="M59" s="75">
        <v>182750</v>
      </c>
      <c r="N59" s="75">
        <v>181418</v>
      </c>
      <c r="O59" s="75">
        <v>180140</v>
      </c>
      <c r="P59" s="75">
        <v>178912</v>
      </c>
      <c r="Q59" s="75">
        <v>177731</v>
      </c>
      <c r="R59" s="75">
        <v>176594</v>
      </c>
      <c r="S59" s="75">
        <v>175500</v>
      </c>
      <c r="T59" s="75">
        <v>174445</v>
      </c>
      <c r="U59" s="75">
        <v>173428</v>
      </c>
      <c r="V59" s="75">
        <v>172447</v>
      </c>
      <c r="W59" s="75">
        <v>171500</v>
      </c>
      <c r="X59" s="75">
        <v>170585</v>
      </c>
      <c r="Y59" s="75">
        <v>169700</v>
      </c>
      <c r="Z59" s="75">
        <v>168844</v>
      </c>
      <c r="AA59" s="75">
        <v>168016</v>
      </c>
      <c r="AB59" s="75">
        <v>167214</v>
      </c>
      <c r="AC59" s="75">
        <v>166437</v>
      </c>
      <c r="AD59" s="75">
        <v>165684</v>
      </c>
      <c r="AE59" s="75">
        <v>164954</v>
      </c>
      <c r="AF59" s="75">
        <v>164246</v>
      </c>
      <c r="AG59" s="75">
        <v>163559</v>
      </c>
      <c r="AH59" s="75">
        <v>162891</v>
      </c>
      <c r="AI59" s="75">
        <v>162243</v>
      </c>
      <c r="AJ59" s="75">
        <v>161612</v>
      </c>
      <c r="AK59" s="75">
        <v>161000</v>
      </c>
      <c r="AL59" s="75">
        <v>160404</v>
      </c>
      <c r="AM59" s="75">
        <v>159824</v>
      </c>
    </row>
    <row r="60" spans="1:39" x14ac:dyDescent="0.25">
      <c r="A60">
        <v>60</v>
      </c>
      <c r="B60">
        <v>18</v>
      </c>
      <c r="C60">
        <v>85</v>
      </c>
      <c r="D60">
        <v>90</v>
      </c>
      <c r="E60" s="75">
        <v>201208</v>
      </c>
      <c r="F60" s="75">
        <v>199299</v>
      </c>
      <c r="G60" s="75">
        <v>197480</v>
      </c>
      <c r="H60" s="75">
        <v>195746</v>
      </c>
      <c r="I60" s="75">
        <v>194090</v>
      </c>
      <c r="J60" s="75">
        <v>192508</v>
      </c>
      <c r="K60" s="75">
        <v>190995</v>
      </c>
      <c r="L60" s="75">
        <v>189547</v>
      </c>
      <c r="M60" s="75">
        <v>188158</v>
      </c>
      <c r="N60" s="75">
        <v>186827</v>
      </c>
      <c r="O60" s="75">
        <v>185548</v>
      </c>
      <c r="P60" s="75">
        <v>184320</v>
      </c>
      <c r="Q60" s="75">
        <v>183139</v>
      </c>
      <c r="R60" s="75">
        <v>182003</v>
      </c>
      <c r="S60" s="75">
        <v>180908</v>
      </c>
      <c r="T60" s="75">
        <v>179854</v>
      </c>
      <c r="U60" s="75">
        <v>178837</v>
      </c>
      <c r="V60" s="75">
        <v>177856</v>
      </c>
      <c r="W60" s="75">
        <v>176908</v>
      </c>
      <c r="X60" s="75">
        <v>175993</v>
      </c>
      <c r="Y60" s="75">
        <v>175108</v>
      </c>
      <c r="Z60" s="75">
        <v>174253</v>
      </c>
      <c r="AA60" s="75">
        <v>173425</v>
      </c>
      <c r="AB60" s="75">
        <v>172623</v>
      </c>
      <c r="AC60" s="75">
        <v>171846</v>
      </c>
      <c r="AD60" s="75">
        <v>171093</v>
      </c>
      <c r="AE60" s="75">
        <v>170363</v>
      </c>
      <c r="AF60" s="75">
        <v>169655</v>
      </c>
      <c r="AG60" s="75">
        <v>168967</v>
      </c>
      <c r="AH60" s="75">
        <v>168300</v>
      </c>
      <c r="AI60" s="75">
        <v>167651</v>
      </c>
      <c r="AJ60" s="75">
        <v>167021</v>
      </c>
      <c r="AK60" s="75">
        <v>166408</v>
      </c>
      <c r="AL60" s="75">
        <v>165813</v>
      </c>
      <c r="AM60" s="75">
        <v>165233</v>
      </c>
    </row>
    <row r="61" spans="1:39" x14ac:dyDescent="0.25">
      <c r="A61">
        <v>61</v>
      </c>
      <c r="B61">
        <v>19</v>
      </c>
      <c r="C61">
        <v>90</v>
      </c>
      <c r="D61">
        <v>95</v>
      </c>
      <c r="E61" s="75">
        <v>206617</v>
      </c>
      <c r="F61" s="75">
        <v>204707</v>
      </c>
      <c r="G61" s="75">
        <v>202888</v>
      </c>
      <c r="H61" s="75">
        <v>201154</v>
      </c>
      <c r="I61" s="75">
        <v>199499</v>
      </c>
      <c r="J61" s="75">
        <v>197917</v>
      </c>
      <c r="K61" s="75">
        <v>196404</v>
      </c>
      <c r="L61" s="75">
        <v>194955</v>
      </c>
      <c r="M61" s="75">
        <v>193567</v>
      </c>
      <c r="N61" s="75">
        <v>192235</v>
      </c>
      <c r="O61" s="75">
        <v>190957</v>
      </c>
      <c r="P61" s="75">
        <v>189729</v>
      </c>
      <c r="Q61" s="75">
        <v>188548</v>
      </c>
      <c r="R61" s="75">
        <v>187411</v>
      </c>
      <c r="S61" s="75">
        <v>186317</v>
      </c>
      <c r="T61" s="75">
        <v>185262</v>
      </c>
      <c r="U61" s="75">
        <v>184246</v>
      </c>
      <c r="V61" s="75">
        <v>183264</v>
      </c>
      <c r="W61" s="75">
        <v>182317</v>
      </c>
      <c r="X61" s="75">
        <v>181402</v>
      </c>
      <c r="Y61" s="75">
        <v>180517</v>
      </c>
      <c r="Z61" s="75">
        <v>179661</v>
      </c>
      <c r="AA61" s="75">
        <v>178833</v>
      </c>
      <c r="AB61" s="75">
        <v>178031</v>
      </c>
      <c r="AC61" s="75">
        <v>177255</v>
      </c>
      <c r="AD61" s="75">
        <v>176502</v>
      </c>
      <c r="AE61" s="75">
        <v>175772</v>
      </c>
      <c r="AF61" s="75">
        <v>175063</v>
      </c>
      <c r="AG61" s="75">
        <v>174376</v>
      </c>
      <c r="AH61" s="75">
        <v>173708</v>
      </c>
      <c r="AI61" s="75">
        <v>173060</v>
      </c>
      <c r="AJ61" s="75">
        <v>172430</v>
      </c>
      <c r="AK61" s="75">
        <v>171817</v>
      </c>
      <c r="AL61" s="75">
        <v>171221</v>
      </c>
      <c r="AM61" s="75">
        <v>170641</v>
      </c>
    </row>
    <row r="62" spans="1:39" x14ac:dyDescent="0.25">
      <c r="A62">
        <v>62</v>
      </c>
      <c r="B62">
        <v>20</v>
      </c>
      <c r="C62">
        <v>95</v>
      </c>
      <c r="D62">
        <v>100</v>
      </c>
      <c r="E62" s="75">
        <v>212025</v>
      </c>
      <c r="F62" s="75">
        <v>210116</v>
      </c>
      <c r="G62" s="75">
        <v>208297</v>
      </c>
      <c r="H62" s="75">
        <v>206563</v>
      </c>
      <c r="I62" s="75">
        <v>204907</v>
      </c>
      <c r="J62" s="75">
        <v>203326</v>
      </c>
      <c r="K62" s="75">
        <v>201812</v>
      </c>
      <c r="L62" s="75">
        <v>200364</v>
      </c>
      <c r="M62" s="75">
        <v>198976</v>
      </c>
      <c r="N62" s="75">
        <v>197644</v>
      </c>
      <c r="O62" s="75">
        <v>196366</v>
      </c>
      <c r="P62" s="75">
        <v>195137</v>
      </c>
      <c r="Q62" s="75">
        <v>193956</v>
      </c>
      <c r="R62" s="75">
        <v>192820</v>
      </c>
      <c r="S62" s="75">
        <v>191726</v>
      </c>
      <c r="T62" s="75">
        <v>190671</v>
      </c>
      <c r="U62" s="75">
        <v>189654</v>
      </c>
      <c r="V62" s="75">
        <v>188673</v>
      </c>
      <c r="W62" s="75">
        <v>187726</v>
      </c>
      <c r="X62" s="75">
        <v>186810</v>
      </c>
      <c r="Y62" s="75">
        <v>185926</v>
      </c>
      <c r="Z62" s="75">
        <v>185070</v>
      </c>
      <c r="AA62" s="75">
        <v>184242</v>
      </c>
      <c r="AB62" s="75">
        <v>183440</v>
      </c>
      <c r="AC62" s="75">
        <v>182663</v>
      </c>
      <c r="AD62" s="75">
        <v>181910</v>
      </c>
      <c r="AE62" s="75">
        <v>181180</v>
      </c>
      <c r="AF62" s="75">
        <v>180472</v>
      </c>
      <c r="AG62" s="75">
        <v>179784</v>
      </c>
      <c r="AH62" s="75">
        <v>179117</v>
      </c>
      <c r="AI62" s="75">
        <v>178468</v>
      </c>
      <c r="AJ62" s="75">
        <v>177838</v>
      </c>
      <c r="AK62" s="75">
        <v>177226</v>
      </c>
      <c r="AL62" s="75">
        <v>176630</v>
      </c>
      <c r="AM62" s="75">
        <v>176050</v>
      </c>
    </row>
    <row r="63" spans="1:39" x14ac:dyDescent="0.25">
      <c r="A63">
        <v>63</v>
      </c>
    </row>
  </sheetData>
  <mergeCells count="1">
    <mergeCell ref="C42:D42"/>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3DEA0-3E51-4BB6-ACCE-8AE1879A22AE}">
  <sheetPr codeName="Hoja18">
    <tabColor theme="6"/>
  </sheetPr>
  <dimension ref="A1:AM63"/>
  <sheetViews>
    <sheetView workbookViewId="0">
      <selection activeCell="B128" sqref="B128"/>
    </sheetView>
  </sheetViews>
  <sheetFormatPr baseColWidth="10" defaultColWidth="11.42578125" defaultRowHeight="15" x14ac:dyDescent="0.25"/>
  <cols>
    <col min="1" max="1" width="11.42578125" customWidth="1"/>
    <col min="7" max="7" width="52.85546875" bestFit="1" customWidth="1"/>
    <col min="8" max="8" width="21.140625" customWidth="1"/>
    <col min="9" max="9" width="19.7109375" customWidth="1"/>
  </cols>
  <sheetData>
    <row r="1" spans="1:9" x14ac:dyDescent="0.25">
      <c r="A1">
        <v>1</v>
      </c>
      <c r="B1" t="s">
        <v>301</v>
      </c>
    </row>
    <row r="2" spans="1:9" x14ac:dyDescent="0.25">
      <c r="A2">
        <v>2</v>
      </c>
      <c r="G2" t="s">
        <v>302</v>
      </c>
      <c r="H2" t="s">
        <v>303</v>
      </c>
    </row>
    <row r="3" spans="1:9" x14ac:dyDescent="0.25">
      <c r="A3">
        <v>3</v>
      </c>
      <c r="H3" s="97"/>
    </row>
    <row r="4" spans="1:9" x14ac:dyDescent="0.25">
      <c r="A4">
        <v>4</v>
      </c>
      <c r="G4" t="s">
        <v>304</v>
      </c>
      <c r="H4" s="121" t="e">
        <f>IF((Cálculo!$C$2/3)&lt;5000,($H$31+'CDF y CRT-DA'!$H$35),('CDF y CRT-DA'!$H$21+$H$23))</f>
        <v>#VALUE!</v>
      </c>
    </row>
    <row r="5" spans="1:9" x14ac:dyDescent="0.25">
      <c r="A5">
        <v>5</v>
      </c>
      <c r="H5" s="97"/>
    </row>
    <row r="6" spans="1:9" hidden="1" x14ac:dyDescent="0.25">
      <c r="A6">
        <v>6</v>
      </c>
      <c r="H6" s="72"/>
    </row>
    <row r="7" spans="1:9" hidden="1" x14ac:dyDescent="0.25">
      <c r="A7">
        <v>7</v>
      </c>
      <c r="H7" s="72"/>
    </row>
    <row r="8" spans="1:9" hidden="1" x14ac:dyDescent="0.25">
      <c r="A8">
        <v>8</v>
      </c>
    </row>
    <row r="9" spans="1:9" hidden="1" x14ac:dyDescent="0.25">
      <c r="A9">
        <v>9</v>
      </c>
      <c r="H9" s="97"/>
    </row>
    <row r="10" spans="1:9" hidden="1" x14ac:dyDescent="0.25">
      <c r="A10">
        <v>10</v>
      </c>
    </row>
    <row r="11" spans="1:9" hidden="1" x14ac:dyDescent="0.25">
      <c r="A11">
        <v>11</v>
      </c>
    </row>
    <row r="12" spans="1:9" hidden="1" x14ac:dyDescent="0.25">
      <c r="A12">
        <v>12</v>
      </c>
    </row>
    <row r="13" spans="1:9" hidden="1" x14ac:dyDescent="0.25">
      <c r="A13">
        <v>13</v>
      </c>
    </row>
    <row r="14" spans="1:9" x14ac:dyDescent="0.25">
      <c r="A14">
        <v>14</v>
      </c>
      <c r="B14" t="s">
        <v>305</v>
      </c>
      <c r="I14" s="172" t="s">
        <v>297</v>
      </c>
    </row>
    <row r="15" spans="1:9" x14ac:dyDescent="0.25">
      <c r="A15">
        <v>15</v>
      </c>
      <c r="G15" t="s">
        <v>302</v>
      </c>
      <c r="H15" t="s">
        <v>303</v>
      </c>
    </row>
    <row r="16" spans="1:9" x14ac:dyDescent="0.25">
      <c r="A16">
        <v>16</v>
      </c>
      <c r="G16" t="s">
        <v>307</v>
      </c>
      <c r="H16" s="97">
        <f>I16/12</f>
        <v>25000</v>
      </c>
      <c r="I16" s="182">
        <f>'Fichas técnicas Tecnologías'!$X$9*'Fichas técnicas Tecnologías'!Q9</f>
        <v>300000</v>
      </c>
    </row>
    <row r="17" spans="1:12" x14ac:dyDescent="0.25">
      <c r="A17">
        <v>17</v>
      </c>
      <c r="G17" t="s">
        <v>308</v>
      </c>
      <c r="H17">
        <f>IF('Datos de entrada'!$B$50="No",'Datos de entrada'!$B$51,'Datos de entrada'!$B$34)</f>
        <v>0</v>
      </c>
    </row>
    <row r="18" spans="1:12" x14ac:dyDescent="0.25">
      <c r="A18">
        <v>18</v>
      </c>
      <c r="G18" t="s">
        <v>309</v>
      </c>
      <c r="H18" s="121">
        <f>H19+H20</f>
        <v>24747.069240000001</v>
      </c>
    </row>
    <row r="19" spans="1:12" x14ac:dyDescent="0.25">
      <c r="A19">
        <v>19</v>
      </c>
      <c r="G19" t="s">
        <v>310</v>
      </c>
      <c r="H19" s="72">
        <f>MIN(18722+(132924379/$H$16), 139896)</f>
        <v>24038.975160000002</v>
      </c>
    </row>
    <row r="20" spans="1:12" x14ac:dyDescent="0.25">
      <c r="A20">
        <v>20</v>
      </c>
      <c r="G20" t="s">
        <v>311</v>
      </c>
      <c r="H20" s="72">
        <f>MIN(242+(11652352/$H$16),6185)</f>
        <v>708.09408000000008</v>
      </c>
    </row>
    <row r="21" spans="1:12" x14ac:dyDescent="0.25">
      <c r="A21">
        <v>21</v>
      </c>
      <c r="G21" t="s">
        <v>312</v>
      </c>
      <c r="H21" s="121">
        <f>+H18*((1+(2.23%*('Datos de entrada'!$B$5-2014))))</f>
        <v>-1086698.253880728</v>
      </c>
    </row>
    <row r="22" spans="1:12" x14ac:dyDescent="0.25">
      <c r="A22">
        <v>22</v>
      </c>
      <c r="G22" t="s">
        <v>313</v>
      </c>
      <c r="H22" s="120">
        <f>64745+(738*$H$17)+(8683846/$H$16)</f>
        <v>65092.353840000003</v>
      </c>
    </row>
    <row r="23" spans="1:12" x14ac:dyDescent="0.25">
      <c r="A23">
        <v>23</v>
      </c>
      <c r="G23" t="s">
        <v>314</v>
      </c>
      <c r="H23" s="120">
        <f>$H$22*((0.89+(0.003*('Datos de entrada'!$B$5-2014)))+(0.11+(0.001*('Datos de entrada'!$B$5-2014))))</f>
        <v>-459291.64869504003</v>
      </c>
      <c r="I23" t="s">
        <v>325</v>
      </c>
    </row>
    <row r="24" spans="1:12" x14ac:dyDescent="0.25">
      <c r="A24">
        <v>24</v>
      </c>
    </row>
    <row r="25" spans="1:12" x14ac:dyDescent="0.25">
      <c r="A25">
        <v>25</v>
      </c>
    </row>
    <row r="26" spans="1:12" x14ac:dyDescent="0.25">
      <c r="A26">
        <v>26</v>
      </c>
      <c r="B26" t="s">
        <v>315</v>
      </c>
    </row>
    <row r="27" spans="1:12" x14ac:dyDescent="0.25">
      <c r="A27">
        <v>27</v>
      </c>
    </row>
    <row r="28" spans="1:12" x14ac:dyDescent="0.25">
      <c r="A28">
        <v>28</v>
      </c>
      <c r="G28" t="s">
        <v>316</v>
      </c>
      <c r="H28" s="97">
        <f>I16/12</f>
        <v>25000</v>
      </c>
    </row>
    <row r="29" spans="1:12" x14ac:dyDescent="0.25">
      <c r="A29">
        <v>29</v>
      </c>
      <c r="G29" t="s">
        <v>308</v>
      </c>
      <c r="H29">
        <f>IF('Datos de entrada'!$B$50="No",'Datos de entrada'!$B$51,'Datos de entrada'!$B$34)</f>
        <v>0</v>
      </c>
    </row>
    <row r="30" spans="1:12" x14ac:dyDescent="0.25">
      <c r="A30">
        <v>30</v>
      </c>
      <c r="G30" t="s">
        <v>317</v>
      </c>
      <c r="H30" s="167">
        <f>IF($H$29&lt;100,VLOOKUP($L$32,$A$43:$AM$62,$L$33,FALSE),25554+(1082*$H$29+(15659942/$H$28)))</f>
        <v>73287</v>
      </c>
    </row>
    <row r="31" spans="1:12" x14ac:dyDescent="0.25">
      <c r="A31">
        <v>31</v>
      </c>
      <c r="G31" t="s">
        <v>314</v>
      </c>
      <c r="H31" s="167">
        <f>$H$30*((0.89*(1+3%)^('Datos de entrada'!$B$5-2018))+(0.11*(1+1%)^('Datos de entrada'!$B$5-2018)))</f>
        <v>1.5342189265412069E-5</v>
      </c>
      <c r="I31" s="174">
        <f>+H31/H30</f>
        <v>2.0934393910805556E-10</v>
      </c>
    </row>
    <row r="32" spans="1:12" x14ac:dyDescent="0.25">
      <c r="A32">
        <v>32</v>
      </c>
      <c r="G32" t="s">
        <v>318</v>
      </c>
      <c r="H32" s="120">
        <f>+H33+H34</f>
        <v>27856.898679999998</v>
      </c>
      <c r="I32" s="175">
        <f>(I31^0.25)-1</f>
        <v>-0.99619622256332918</v>
      </c>
      <c r="K32" t="s">
        <v>180</v>
      </c>
      <c r="L32">
        <f>+ROW(B43)+INT(H29/5)</f>
        <v>43</v>
      </c>
    </row>
    <row r="33" spans="1:39" x14ac:dyDescent="0.25">
      <c r="A33">
        <v>33</v>
      </c>
      <c r="G33" t="s">
        <v>319</v>
      </c>
      <c r="H33" s="120">
        <f>MIN(21075+(149630621/$H$28), 157478)</f>
        <v>27060.224839999999</v>
      </c>
      <c r="K33" t="s">
        <v>320</v>
      </c>
      <c r="L33">
        <f>+IF(H28&lt;=200,COLUMN(E41),IF(AND(H28&gt;=200,H28&lt;=365),COLUMN(F41)+INT((H28-200)/5),COLUMN(AM41)))</f>
        <v>39</v>
      </c>
      <c r="M33" t="s">
        <v>321</v>
      </c>
    </row>
    <row r="34" spans="1:39" x14ac:dyDescent="0.25">
      <c r="A34">
        <v>34</v>
      </c>
      <c r="G34" t="s">
        <v>322</v>
      </c>
      <c r="H34" s="120">
        <f>MIN(272+(13116846/$H$28),6962)</f>
        <v>796.67384000000004</v>
      </c>
    </row>
    <row r="35" spans="1:39" x14ac:dyDescent="0.25">
      <c r="A35">
        <v>35</v>
      </c>
      <c r="G35" t="s">
        <v>314</v>
      </c>
      <c r="H35" s="120">
        <f>+H32*((1+(2.23%*('Datos de entrada'!$B$5-2018))))</f>
        <v>-1225742.541578152</v>
      </c>
    </row>
    <row r="36" spans="1:39" x14ac:dyDescent="0.25">
      <c r="A36">
        <v>36</v>
      </c>
    </row>
    <row r="37" spans="1:39" x14ac:dyDescent="0.25">
      <c r="A37">
        <v>37</v>
      </c>
    </row>
    <row r="38" spans="1:39" x14ac:dyDescent="0.25">
      <c r="A38">
        <v>38</v>
      </c>
    </row>
    <row r="39" spans="1:39" x14ac:dyDescent="0.25">
      <c r="A39">
        <v>39</v>
      </c>
      <c r="B39">
        <v>1</v>
      </c>
      <c r="C39">
        <v>2</v>
      </c>
      <c r="D39">
        <v>3</v>
      </c>
      <c r="E39">
        <v>1</v>
      </c>
      <c r="F39">
        <v>2</v>
      </c>
      <c r="G39">
        <v>3</v>
      </c>
      <c r="H39">
        <v>4</v>
      </c>
      <c r="I39">
        <v>5</v>
      </c>
      <c r="J39">
        <v>6</v>
      </c>
      <c r="K39">
        <v>7</v>
      </c>
      <c r="L39">
        <v>8</v>
      </c>
      <c r="M39">
        <v>9</v>
      </c>
      <c r="N39">
        <v>10</v>
      </c>
      <c r="O39">
        <v>11</v>
      </c>
      <c r="P39">
        <v>12</v>
      </c>
      <c r="Q39">
        <v>13</v>
      </c>
      <c r="R39">
        <v>14</v>
      </c>
      <c r="S39">
        <v>15</v>
      </c>
      <c r="T39">
        <v>16</v>
      </c>
      <c r="U39">
        <v>17</v>
      </c>
      <c r="V39">
        <v>18</v>
      </c>
      <c r="W39">
        <v>19</v>
      </c>
      <c r="X39">
        <v>20</v>
      </c>
      <c r="Y39">
        <v>21</v>
      </c>
      <c r="Z39">
        <v>22</v>
      </c>
      <c r="AA39">
        <v>23</v>
      </c>
      <c r="AB39">
        <v>24</v>
      </c>
      <c r="AC39">
        <v>25</v>
      </c>
      <c r="AD39">
        <v>29</v>
      </c>
      <c r="AE39">
        <v>30</v>
      </c>
      <c r="AF39">
        <v>31</v>
      </c>
      <c r="AG39">
        <v>32</v>
      </c>
      <c r="AH39">
        <v>33</v>
      </c>
      <c r="AI39">
        <v>34</v>
      </c>
      <c r="AJ39">
        <v>35</v>
      </c>
      <c r="AK39">
        <v>36</v>
      </c>
      <c r="AL39">
        <v>37</v>
      </c>
      <c r="AM39">
        <v>38</v>
      </c>
    </row>
    <row r="40" spans="1:39" x14ac:dyDescent="0.25">
      <c r="A40">
        <v>40</v>
      </c>
      <c r="E40" t="s">
        <v>323</v>
      </c>
    </row>
    <row r="41" spans="1:39" x14ac:dyDescent="0.25">
      <c r="A41">
        <v>41</v>
      </c>
      <c r="E41">
        <v>0</v>
      </c>
      <c r="F41">
        <v>200</v>
      </c>
      <c r="G41">
        <v>205</v>
      </c>
      <c r="H41">
        <v>210</v>
      </c>
      <c r="I41">
        <v>215</v>
      </c>
      <c r="J41">
        <v>220</v>
      </c>
      <c r="K41">
        <v>225</v>
      </c>
      <c r="L41">
        <v>230</v>
      </c>
      <c r="M41">
        <v>235</v>
      </c>
      <c r="N41">
        <v>240</v>
      </c>
      <c r="O41">
        <v>245</v>
      </c>
      <c r="P41">
        <v>250</v>
      </c>
      <c r="Q41">
        <v>255</v>
      </c>
      <c r="R41">
        <v>260</v>
      </c>
      <c r="S41">
        <v>265</v>
      </c>
      <c r="T41">
        <v>270</v>
      </c>
      <c r="U41">
        <v>275</v>
      </c>
      <c r="V41">
        <v>280</v>
      </c>
      <c r="W41">
        <v>285</v>
      </c>
      <c r="X41">
        <v>290</v>
      </c>
      <c r="Y41">
        <v>295</v>
      </c>
      <c r="Z41">
        <v>300</v>
      </c>
      <c r="AA41">
        <v>305</v>
      </c>
      <c r="AB41">
        <v>310</v>
      </c>
      <c r="AC41">
        <v>315</v>
      </c>
      <c r="AD41">
        <v>320</v>
      </c>
      <c r="AE41">
        <v>325</v>
      </c>
      <c r="AF41">
        <v>330</v>
      </c>
      <c r="AG41">
        <v>335</v>
      </c>
      <c r="AH41">
        <v>340</v>
      </c>
      <c r="AI41">
        <v>345</v>
      </c>
      <c r="AJ41">
        <v>350</v>
      </c>
      <c r="AK41">
        <v>355</v>
      </c>
      <c r="AL41">
        <v>360</v>
      </c>
      <c r="AM41">
        <v>365</v>
      </c>
    </row>
    <row r="42" spans="1:39" x14ac:dyDescent="0.25">
      <c r="A42">
        <v>42</v>
      </c>
      <c r="C42" s="284" t="s">
        <v>324</v>
      </c>
      <c r="D42" s="284"/>
      <c r="E42">
        <v>200</v>
      </c>
      <c r="F42">
        <v>205</v>
      </c>
      <c r="G42">
        <v>210</v>
      </c>
      <c r="H42">
        <v>215</v>
      </c>
      <c r="I42">
        <v>220</v>
      </c>
      <c r="J42">
        <v>225</v>
      </c>
      <c r="K42">
        <v>230</v>
      </c>
      <c r="L42">
        <v>235</v>
      </c>
      <c r="M42">
        <v>240</v>
      </c>
      <c r="N42">
        <v>245</v>
      </c>
      <c r="O42">
        <v>250</v>
      </c>
      <c r="P42">
        <v>255</v>
      </c>
      <c r="Q42">
        <v>260</v>
      </c>
      <c r="R42">
        <v>265</v>
      </c>
      <c r="S42">
        <v>270</v>
      </c>
      <c r="T42">
        <v>275</v>
      </c>
      <c r="U42">
        <v>280</v>
      </c>
      <c r="V42">
        <v>285</v>
      </c>
      <c r="W42">
        <v>290</v>
      </c>
      <c r="X42">
        <v>295</v>
      </c>
      <c r="Y42">
        <v>300</v>
      </c>
      <c r="Z42">
        <v>305</v>
      </c>
      <c r="AA42">
        <v>310</v>
      </c>
      <c r="AB42">
        <v>315</v>
      </c>
      <c r="AC42">
        <v>320</v>
      </c>
      <c r="AD42">
        <v>325</v>
      </c>
      <c r="AE42">
        <v>330</v>
      </c>
      <c r="AF42">
        <v>335</v>
      </c>
      <c r="AG42">
        <v>340</v>
      </c>
      <c r="AH42">
        <v>345</v>
      </c>
      <c r="AI42">
        <v>350</v>
      </c>
      <c r="AJ42">
        <v>355</v>
      </c>
      <c r="AK42">
        <v>360</v>
      </c>
      <c r="AL42">
        <v>365</v>
      </c>
      <c r="AM42">
        <v>10000000</v>
      </c>
    </row>
    <row r="43" spans="1:39" x14ac:dyDescent="0.25">
      <c r="A43">
        <v>43</v>
      </c>
      <c r="B43">
        <v>1</v>
      </c>
      <c r="C43">
        <v>0</v>
      </c>
      <c r="D43">
        <v>5</v>
      </c>
      <c r="E43" s="75">
        <v>109262</v>
      </c>
      <c r="F43" s="75">
        <v>107352</v>
      </c>
      <c r="G43" s="75">
        <v>105534</v>
      </c>
      <c r="H43" s="75">
        <v>103799</v>
      </c>
      <c r="I43" s="75">
        <v>102144</v>
      </c>
      <c r="J43" s="75">
        <v>100562</v>
      </c>
      <c r="K43" s="75">
        <v>99049</v>
      </c>
      <c r="L43" s="75">
        <v>97600</v>
      </c>
      <c r="M43" s="75">
        <v>96212</v>
      </c>
      <c r="N43" s="75">
        <v>94881</v>
      </c>
      <c r="O43" s="75">
        <v>93602</v>
      </c>
      <c r="P43" s="75">
        <v>92374</v>
      </c>
      <c r="Q43" s="75">
        <v>91193</v>
      </c>
      <c r="R43" s="75">
        <v>90056</v>
      </c>
      <c r="S43" s="75">
        <v>88962</v>
      </c>
      <c r="T43" s="75">
        <v>87908</v>
      </c>
      <c r="U43" s="75">
        <v>86891</v>
      </c>
      <c r="V43" s="75">
        <v>85910</v>
      </c>
      <c r="W43" s="75">
        <v>84962</v>
      </c>
      <c r="X43" s="75">
        <v>84047</v>
      </c>
      <c r="Y43" s="75">
        <v>83162</v>
      </c>
      <c r="Z43" s="75">
        <v>82306</v>
      </c>
      <c r="AA43" s="75">
        <v>81478</v>
      </c>
      <c r="AB43" s="75">
        <v>80676</v>
      </c>
      <c r="AC43" s="75">
        <v>79900</v>
      </c>
      <c r="AD43" s="75">
        <v>79147</v>
      </c>
      <c r="AE43" s="75">
        <v>78417</v>
      </c>
      <c r="AF43" s="75">
        <v>77708</v>
      </c>
      <c r="AG43" s="75">
        <v>77021</v>
      </c>
      <c r="AH43" s="75">
        <v>76354</v>
      </c>
      <c r="AI43" s="75">
        <v>75705</v>
      </c>
      <c r="AJ43" s="75">
        <v>75075</v>
      </c>
      <c r="AK43" s="75">
        <v>74462</v>
      </c>
      <c r="AL43" s="75">
        <v>73866</v>
      </c>
      <c r="AM43" s="75">
        <v>73287</v>
      </c>
    </row>
    <row r="44" spans="1:39" x14ac:dyDescent="0.25">
      <c r="A44">
        <v>44</v>
      </c>
      <c r="B44">
        <v>2</v>
      </c>
      <c r="C44">
        <v>5</v>
      </c>
      <c r="D44">
        <v>10</v>
      </c>
      <c r="E44" s="75">
        <v>114671</v>
      </c>
      <c r="F44" s="75">
        <v>112761</v>
      </c>
      <c r="G44" s="75">
        <v>110942</v>
      </c>
      <c r="H44" s="75">
        <v>109208</v>
      </c>
      <c r="I44" s="75">
        <v>107553</v>
      </c>
      <c r="J44" s="75">
        <v>105971</v>
      </c>
      <c r="K44" s="75">
        <v>104458</v>
      </c>
      <c r="L44" s="75">
        <v>103009</v>
      </c>
      <c r="M44" s="75">
        <v>101621</v>
      </c>
      <c r="N44" s="75">
        <v>100289</v>
      </c>
      <c r="O44" s="75">
        <v>99011</v>
      </c>
      <c r="P44" s="75">
        <v>97783</v>
      </c>
      <c r="Q44" s="75">
        <v>96602</v>
      </c>
      <c r="R44" s="75">
        <v>95465</v>
      </c>
      <c r="S44" s="75">
        <v>94371</v>
      </c>
      <c r="T44" s="75">
        <v>93316</v>
      </c>
      <c r="U44" s="75">
        <v>92299</v>
      </c>
      <c r="V44" s="75">
        <v>91318</v>
      </c>
      <c r="W44" s="75">
        <v>90371</v>
      </c>
      <c r="X44" s="75">
        <v>89456</v>
      </c>
      <c r="Y44" s="75">
        <v>88571</v>
      </c>
      <c r="Z44" s="75">
        <v>87715</v>
      </c>
      <c r="AA44" s="75">
        <v>86887</v>
      </c>
      <c r="AB44" s="75">
        <v>86085</v>
      </c>
      <c r="AC44" s="75">
        <v>85308</v>
      </c>
      <c r="AD44" s="75">
        <v>84555</v>
      </c>
      <c r="AE44" s="75">
        <v>83825</v>
      </c>
      <c r="AF44" s="75">
        <v>83117</v>
      </c>
      <c r="AG44" s="75">
        <v>82430</v>
      </c>
      <c r="AH44" s="75">
        <v>81762</v>
      </c>
      <c r="AI44" s="75">
        <v>81114</v>
      </c>
      <c r="AJ44" s="75">
        <v>80483</v>
      </c>
      <c r="AK44" s="75">
        <v>79871</v>
      </c>
      <c r="AL44" s="75">
        <v>79275</v>
      </c>
      <c r="AM44" s="75">
        <v>78695</v>
      </c>
    </row>
    <row r="45" spans="1:39" x14ac:dyDescent="0.25">
      <c r="A45">
        <v>45</v>
      </c>
      <c r="B45">
        <v>3</v>
      </c>
      <c r="C45">
        <v>10</v>
      </c>
      <c r="D45">
        <v>15</v>
      </c>
      <c r="E45" s="75">
        <v>120079</v>
      </c>
      <c r="F45" s="75">
        <v>118170</v>
      </c>
      <c r="G45" s="75">
        <v>116351</v>
      </c>
      <c r="H45" s="75">
        <v>114617</v>
      </c>
      <c r="I45" s="75">
        <v>112961</v>
      </c>
      <c r="J45" s="75">
        <v>111379</v>
      </c>
      <c r="K45" s="75">
        <v>109866</v>
      </c>
      <c r="L45" s="75">
        <v>108418</v>
      </c>
      <c r="M45" s="75">
        <v>107029</v>
      </c>
      <c r="N45" s="75">
        <v>105698</v>
      </c>
      <c r="O45" s="75">
        <v>104419</v>
      </c>
      <c r="P45" s="75">
        <v>103191</v>
      </c>
      <c r="Q45" s="75">
        <v>102010</v>
      </c>
      <c r="R45" s="75">
        <v>100874</v>
      </c>
      <c r="S45" s="75">
        <v>99779</v>
      </c>
      <c r="T45" s="75">
        <v>98725</v>
      </c>
      <c r="U45" s="75">
        <v>97708</v>
      </c>
      <c r="V45" s="75">
        <v>96727</v>
      </c>
      <c r="W45" s="75">
        <v>95779</v>
      </c>
      <c r="X45" s="75">
        <v>94864</v>
      </c>
      <c r="Y45" s="75">
        <v>93979</v>
      </c>
      <c r="Z45" s="75">
        <v>93124</v>
      </c>
      <c r="AA45" s="75">
        <v>92296</v>
      </c>
      <c r="AB45" s="75">
        <v>91494</v>
      </c>
      <c r="AC45" s="75">
        <v>90717</v>
      </c>
      <c r="AD45" s="75">
        <v>89964</v>
      </c>
      <c r="AE45" s="75">
        <v>89234</v>
      </c>
      <c r="AF45" s="75">
        <v>88526</v>
      </c>
      <c r="AG45" s="75">
        <v>87838</v>
      </c>
      <c r="AH45" s="75">
        <v>87171</v>
      </c>
      <c r="AI45" s="75">
        <v>86522</v>
      </c>
      <c r="AJ45" s="75">
        <v>85892</v>
      </c>
      <c r="AK45" s="75">
        <v>85279</v>
      </c>
      <c r="AL45" s="75">
        <v>84684</v>
      </c>
      <c r="AM45" s="75">
        <v>84104</v>
      </c>
    </row>
    <row r="46" spans="1:39" x14ac:dyDescent="0.25">
      <c r="A46">
        <v>46</v>
      </c>
      <c r="B46">
        <v>4</v>
      </c>
      <c r="C46">
        <v>15</v>
      </c>
      <c r="D46">
        <v>20</v>
      </c>
      <c r="E46" s="75">
        <v>125488</v>
      </c>
      <c r="F46" s="75">
        <v>123578</v>
      </c>
      <c r="G46" s="75">
        <v>121759</v>
      </c>
      <c r="H46" s="75">
        <v>120025</v>
      </c>
      <c r="I46" s="75">
        <v>118370</v>
      </c>
      <c r="J46" s="75">
        <v>116788</v>
      </c>
      <c r="K46" s="75">
        <v>115275</v>
      </c>
      <c r="L46" s="75">
        <v>113826</v>
      </c>
      <c r="M46" s="75">
        <v>112438</v>
      </c>
      <c r="N46" s="75">
        <v>111106</v>
      </c>
      <c r="O46" s="75">
        <v>109828</v>
      </c>
      <c r="P46" s="75">
        <v>108600</v>
      </c>
      <c r="Q46" s="75">
        <v>107419</v>
      </c>
      <c r="R46" s="75">
        <v>106282</v>
      </c>
      <c r="S46" s="75">
        <v>105188</v>
      </c>
      <c r="T46" s="75">
        <v>104133</v>
      </c>
      <c r="U46" s="75">
        <v>103117</v>
      </c>
      <c r="V46" s="75">
        <v>102135</v>
      </c>
      <c r="W46" s="75">
        <v>101188</v>
      </c>
      <c r="X46" s="75">
        <v>100273</v>
      </c>
      <c r="Y46" s="75">
        <v>99388</v>
      </c>
      <c r="Z46" s="75">
        <v>98532</v>
      </c>
      <c r="AA46" s="75">
        <v>97704</v>
      </c>
      <c r="AB46" s="75">
        <v>96902</v>
      </c>
      <c r="AC46" s="75">
        <v>96125</v>
      </c>
      <c r="AD46" s="75">
        <v>95373</v>
      </c>
      <c r="AE46" s="75">
        <v>94643</v>
      </c>
      <c r="AF46" s="75">
        <v>93934</v>
      </c>
      <c r="AG46" s="75">
        <v>93247</v>
      </c>
      <c r="AH46" s="75">
        <v>92579</v>
      </c>
      <c r="AI46" s="75">
        <v>91931</v>
      </c>
      <c r="AJ46" s="75">
        <v>91301</v>
      </c>
      <c r="AK46" s="75">
        <v>90688</v>
      </c>
      <c r="AL46" s="75">
        <v>90092</v>
      </c>
      <c r="AM46" s="75">
        <v>89512</v>
      </c>
    </row>
    <row r="47" spans="1:39" x14ac:dyDescent="0.25">
      <c r="A47">
        <v>47</v>
      </c>
      <c r="B47">
        <v>5</v>
      </c>
      <c r="C47">
        <v>20</v>
      </c>
      <c r="D47">
        <v>25</v>
      </c>
      <c r="E47" s="75">
        <v>130896</v>
      </c>
      <c r="F47" s="75">
        <v>128987</v>
      </c>
      <c r="G47" s="75">
        <v>127168</v>
      </c>
      <c r="H47" s="75">
        <v>125434</v>
      </c>
      <c r="I47" s="75">
        <v>123778</v>
      </c>
      <c r="J47" s="75">
        <v>122197</v>
      </c>
      <c r="K47" s="75">
        <v>120683</v>
      </c>
      <c r="L47" s="75">
        <v>119235</v>
      </c>
      <c r="M47" s="75">
        <v>117847</v>
      </c>
      <c r="N47" s="75">
        <v>116515</v>
      </c>
      <c r="O47" s="75">
        <v>115237</v>
      </c>
      <c r="P47" s="75">
        <v>114008</v>
      </c>
      <c r="Q47" s="75">
        <v>112827</v>
      </c>
      <c r="R47" s="75">
        <v>111691</v>
      </c>
      <c r="S47" s="75">
        <v>110597</v>
      </c>
      <c r="T47" s="75">
        <v>109542</v>
      </c>
      <c r="U47" s="75">
        <v>108525</v>
      </c>
      <c r="V47" s="75">
        <v>107544</v>
      </c>
      <c r="W47" s="75">
        <v>106597</v>
      </c>
      <c r="X47" s="75">
        <v>105681</v>
      </c>
      <c r="Y47" s="75">
        <v>104797</v>
      </c>
      <c r="Z47" s="75">
        <v>103941</v>
      </c>
      <c r="AA47" s="75">
        <v>103113</v>
      </c>
      <c r="AB47" s="75">
        <v>102311</v>
      </c>
      <c r="AC47" s="75">
        <v>101534</v>
      </c>
      <c r="AD47" s="75">
        <v>100781</v>
      </c>
      <c r="AE47" s="75">
        <v>100051</v>
      </c>
      <c r="AF47" s="75">
        <v>99343</v>
      </c>
      <c r="AG47" s="75">
        <v>98655</v>
      </c>
      <c r="AH47" s="75">
        <v>97988</v>
      </c>
      <c r="AI47" s="75">
        <v>97339</v>
      </c>
      <c r="AJ47" s="75">
        <v>96709</v>
      </c>
      <c r="AK47" s="75">
        <v>96097</v>
      </c>
      <c r="AL47" s="75">
        <v>95501</v>
      </c>
      <c r="AM47" s="75">
        <v>94921</v>
      </c>
    </row>
    <row r="48" spans="1:39" x14ac:dyDescent="0.25">
      <c r="A48">
        <v>48</v>
      </c>
      <c r="B48">
        <v>6</v>
      </c>
      <c r="C48">
        <v>25</v>
      </c>
      <c r="D48">
        <v>30</v>
      </c>
      <c r="E48" s="75">
        <v>136305</v>
      </c>
      <c r="F48" s="75">
        <v>134395</v>
      </c>
      <c r="G48" s="75">
        <v>132577</v>
      </c>
      <c r="H48" s="75">
        <v>130842</v>
      </c>
      <c r="I48" s="75">
        <v>129187</v>
      </c>
      <c r="J48" s="75">
        <v>127605</v>
      </c>
      <c r="K48" s="75">
        <v>126092</v>
      </c>
      <c r="L48" s="75">
        <v>124643</v>
      </c>
      <c r="M48" s="75">
        <v>123255</v>
      </c>
      <c r="N48" s="75">
        <v>121924</v>
      </c>
      <c r="O48" s="75">
        <v>120645</v>
      </c>
      <c r="P48" s="75">
        <v>119417</v>
      </c>
      <c r="Q48" s="75">
        <v>118236</v>
      </c>
      <c r="R48" s="75">
        <v>117099</v>
      </c>
      <c r="S48" s="75">
        <v>116005</v>
      </c>
      <c r="T48" s="75">
        <v>114951</v>
      </c>
      <c r="U48" s="75">
        <v>113934</v>
      </c>
      <c r="V48" s="75">
        <v>112953</v>
      </c>
      <c r="W48" s="75">
        <v>112005</v>
      </c>
      <c r="X48" s="75">
        <v>111090</v>
      </c>
      <c r="Y48" s="75">
        <v>110205</v>
      </c>
      <c r="Z48" s="75">
        <v>109349</v>
      </c>
      <c r="AA48" s="75">
        <v>108521</v>
      </c>
      <c r="AB48" s="75">
        <v>107719</v>
      </c>
      <c r="AC48" s="75">
        <v>106943</v>
      </c>
      <c r="AD48" s="75">
        <v>106190</v>
      </c>
      <c r="AE48" s="75">
        <v>105460</v>
      </c>
      <c r="AF48" s="75">
        <v>104751</v>
      </c>
      <c r="AG48" s="75">
        <v>104064</v>
      </c>
      <c r="AH48" s="75">
        <v>103397</v>
      </c>
      <c r="AI48" s="75">
        <v>102748</v>
      </c>
      <c r="AJ48" s="75">
        <v>102118</v>
      </c>
      <c r="AK48" s="75">
        <v>101505</v>
      </c>
      <c r="AL48" s="75">
        <v>100909</v>
      </c>
      <c r="AM48" s="75">
        <v>100330</v>
      </c>
    </row>
    <row r="49" spans="1:39" x14ac:dyDescent="0.25">
      <c r="A49">
        <v>49</v>
      </c>
      <c r="B49">
        <v>7</v>
      </c>
      <c r="C49">
        <v>30</v>
      </c>
      <c r="D49">
        <v>35</v>
      </c>
      <c r="E49" s="75">
        <v>141714</v>
      </c>
      <c r="F49" s="75">
        <v>139804</v>
      </c>
      <c r="G49" s="75">
        <v>137985</v>
      </c>
      <c r="H49" s="75">
        <v>136251</v>
      </c>
      <c r="I49" s="75">
        <v>134596</v>
      </c>
      <c r="J49" s="75">
        <v>133014</v>
      </c>
      <c r="K49" s="75">
        <v>131501</v>
      </c>
      <c r="L49" s="75">
        <v>130052</v>
      </c>
      <c r="M49" s="75">
        <v>128664</v>
      </c>
      <c r="N49" s="75">
        <v>127332</v>
      </c>
      <c r="O49" s="75">
        <v>126054</v>
      </c>
      <c r="P49" s="75">
        <v>124826</v>
      </c>
      <c r="Q49" s="75">
        <v>123645</v>
      </c>
      <c r="R49" s="75">
        <v>122508</v>
      </c>
      <c r="S49" s="75">
        <v>121414</v>
      </c>
      <c r="T49" s="75">
        <v>120359</v>
      </c>
      <c r="U49" s="75">
        <v>119342</v>
      </c>
      <c r="V49" s="75">
        <v>118361</v>
      </c>
      <c r="W49" s="75">
        <v>117414</v>
      </c>
      <c r="X49" s="75">
        <v>116499</v>
      </c>
      <c r="Y49" s="75">
        <v>115614</v>
      </c>
      <c r="Z49" s="75">
        <v>114758</v>
      </c>
      <c r="AA49" s="75">
        <v>113930</v>
      </c>
      <c r="AB49" s="75">
        <v>113128</v>
      </c>
      <c r="AC49" s="75">
        <v>112351</v>
      </c>
      <c r="AD49" s="75">
        <v>111598</v>
      </c>
      <c r="AE49" s="75">
        <v>110868</v>
      </c>
      <c r="AF49" s="75">
        <v>110160</v>
      </c>
      <c r="AG49" s="75">
        <v>109473</v>
      </c>
      <c r="AH49" s="75">
        <v>108805</v>
      </c>
      <c r="AI49" s="75">
        <v>108157</v>
      </c>
      <c r="AJ49" s="75">
        <v>107526</v>
      </c>
      <c r="AK49" s="75">
        <v>106914</v>
      </c>
      <c r="AL49" s="75">
        <v>106318</v>
      </c>
      <c r="AM49" s="75">
        <v>105738</v>
      </c>
    </row>
    <row r="50" spans="1:39" x14ac:dyDescent="0.25">
      <c r="A50">
        <v>50</v>
      </c>
      <c r="B50">
        <v>8</v>
      </c>
      <c r="C50">
        <v>35</v>
      </c>
      <c r="D50">
        <v>40</v>
      </c>
      <c r="E50" s="75">
        <v>147122</v>
      </c>
      <c r="F50" s="75">
        <v>145213</v>
      </c>
      <c r="G50" s="75">
        <v>143394</v>
      </c>
      <c r="H50" s="75">
        <v>141660</v>
      </c>
      <c r="I50" s="75">
        <v>140004</v>
      </c>
      <c r="J50" s="75">
        <v>138422</v>
      </c>
      <c r="K50" s="75">
        <v>136909</v>
      </c>
      <c r="L50" s="75">
        <v>135461</v>
      </c>
      <c r="M50" s="75">
        <v>134072</v>
      </c>
      <c r="N50" s="75">
        <v>132741</v>
      </c>
      <c r="O50" s="75">
        <v>131462</v>
      </c>
      <c r="P50" s="75">
        <v>130234</v>
      </c>
      <c r="Q50" s="75">
        <v>129053</v>
      </c>
      <c r="R50" s="75">
        <v>127917</v>
      </c>
      <c r="S50" s="75">
        <v>126822</v>
      </c>
      <c r="T50" s="75">
        <v>125768</v>
      </c>
      <c r="U50" s="75">
        <v>124751</v>
      </c>
      <c r="V50" s="75">
        <v>123770</v>
      </c>
      <c r="W50" s="75">
        <v>122822</v>
      </c>
      <c r="X50" s="75">
        <v>121907</v>
      </c>
      <c r="Y50" s="75">
        <v>121022</v>
      </c>
      <c r="Z50" s="75">
        <v>120167</v>
      </c>
      <c r="AA50" s="75">
        <v>119339</v>
      </c>
      <c r="AB50" s="75">
        <v>118537</v>
      </c>
      <c r="AC50" s="75">
        <v>117760</v>
      </c>
      <c r="AD50" s="75">
        <v>117007</v>
      </c>
      <c r="AE50" s="75">
        <v>116277</v>
      </c>
      <c r="AF50" s="75">
        <v>115569</v>
      </c>
      <c r="AG50" s="75">
        <v>114881</v>
      </c>
      <c r="AH50" s="75">
        <v>114214</v>
      </c>
      <c r="AI50" s="75">
        <v>113565</v>
      </c>
      <c r="AJ50" s="75">
        <v>112935</v>
      </c>
      <c r="AK50" s="75">
        <v>112322</v>
      </c>
      <c r="AL50" s="75">
        <v>111727</v>
      </c>
      <c r="AM50" s="75">
        <v>111147</v>
      </c>
    </row>
    <row r="51" spans="1:39" x14ac:dyDescent="0.25">
      <c r="A51">
        <v>51</v>
      </c>
      <c r="B51">
        <v>9</v>
      </c>
      <c r="C51">
        <v>40</v>
      </c>
      <c r="D51">
        <v>45</v>
      </c>
      <c r="E51" s="75">
        <v>152531</v>
      </c>
      <c r="F51" s="75">
        <v>150621</v>
      </c>
      <c r="G51" s="75">
        <v>148802</v>
      </c>
      <c r="H51" s="75">
        <v>147068</v>
      </c>
      <c r="I51" s="75">
        <v>145413</v>
      </c>
      <c r="J51" s="75">
        <v>143831</v>
      </c>
      <c r="K51" s="75">
        <v>142318</v>
      </c>
      <c r="L51" s="75">
        <v>140869</v>
      </c>
      <c r="M51" s="75">
        <v>139481</v>
      </c>
      <c r="N51" s="75">
        <v>138149</v>
      </c>
      <c r="O51" s="75">
        <v>136871</v>
      </c>
      <c r="P51" s="75">
        <v>135643</v>
      </c>
      <c r="Q51" s="75">
        <v>134462</v>
      </c>
      <c r="R51" s="75">
        <v>133325</v>
      </c>
      <c r="S51" s="75">
        <v>132231</v>
      </c>
      <c r="T51" s="75">
        <v>131176</v>
      </c>
      <c r="U51" s="75">
        <v>130160</v>
      </c>
      <c r="V51" s="75">
        <v>129178</v>
      </c>
      <c r="W51" s="75">
        <v>128231</v>
      </c>
      <c r="X51" s="75">
        <v>127316</v>
      </c>
      <c r="Y51" s="75">
        <v>126431</v>
      </c>
      <c r="Z51" s="75">
        <v>125575</v>
      </c>
      <c r="AA51" s="75">
        <v>124747</v>
      </c>
      <c r="AB51" s="75">
        <v>123945</v>
      </c>
      <c r="AC51" s="75">
        <v>123168</v>
      </c>
      <c r="AD51" s="75">
        <v>122416</v>
      </c>
      <c r="AE51" s="75">
        <v>121686</v>
      </c>
      <c r="AF51" s="75">
        <v>120977</v>
      </c>
      <c r="AG51" s="75">
        <v>120290</v>
      </c>
      <c r="AH51" s="75">
        <v>119622</v>
      </c>
      <c r="AI51" s="75">
        <v>118974</v>
      </c>
      <c r="AJ51" s="75">
        <v>118344</v>
      </c>
      <c r="AK51" s="75">
        <v>117731</v>
      </c>
      <c r="AL51" s="75">
        <v>117135</v>
      </c>
      <c r="AM51" s="75">
        <v>116555</v>
      </c>
    </row>
    <row r="52" spans="1:39" x14ac:dyDescent="0.25">
      <c r="A52">
        <v>52</v>
      </c>
      <c r="B52">
        <v>10</v>
      </c>
      <c r="C52">
        <v>45</v>
      </c>
      <c r="D52">
        <v>50</v>
      </c>
      <c r="E52" s="75">
        <v>157939</v>
      </c>
      <c r="F52" s="75">
        <v>156030</v>
      </c>
      <c r="G52" s="75">
        <v>154211</v>
      </c>
      <c r="H52" s="75">
        <v>152477</v>
      </c>
      <c r="I52" s="75">
        <v>150821</v>
      </c>
      <c r="J52" s="75">
        <v>149240</v>
      </c>
      <c r="K52" s="75">
        <v>147726</v>
      </c>
      <c r="L52" s="75">
        <v>146278</v>
      </c>
      <c r="M52" s="75">
        <v>144890</v>
      </c>
      <c r="N52" s="75">
        <v>143558</v>
      </c>
      <c r="O52" s="75">
        <v>142280</v>
      </c>
      <c r="P52" s="75">
        <v>141051</v>
      </c>
      <c r="Q52" s="75">
        <v>139870</v>
      </c>
      <c r="R52" s="75">
        <v>138734</v>
      </c>
      <c r="S52" s="75">
        <v>137640</v>
      </c>
      <c r="T52" s="75">
        <v>136585</v>
      </c>
      <c r="U52" s="75">
        <v>135568</v>
      </c>
      <c r="V52" s="75">
        <v>134587</v>
      </c>
      <c r="W52" s="75">
        <v>133640</v>
      </c>
      <c r="X52" s="75">
        <v>132724</v>
      </c>
      <c r="Y52" s="75">
        <v>131840</v>
      </c>
      <c r="Z52" s="75">
        <v>130984</v>
      </c>
      <c r="AA52" s="75">
        <v>130156</v>
      </c>
      <c r="AB52" s="75">
        <v>129354</v>
      </c>
      <c r="AC52" s="75">
        <v>128577</v>
      </c>
      <c r="AD52" s="75">
        <v>127824</v>
      </c>
      <c r="AE52" s="75">
        <v>127094</v>
      </c>
      <c r="AF52" s="75">
        <v>126386</v>
      </c>
      <c r="AG52" s="75">
        <v>125698</v>
      </c>
      <c r="AH52" s="75">
        <v>125031</v>
      </c>
      <c r="AI52" s="75">
        <v>124382</v>
      </c>
      <c r="AJ52" s="75">
        <v>123752</v>
      </c>
      <c r="AK52" s="75">
        <v>123140</v>
      </c>
      <c r="AL52" s="75">
        <v>122544</v>
      </c>
      <c r="AM52" s="75">
        <v>121964</v>
      </c>
    </row>
    <row r="53" spans="1:39" x14ac:dyDescent="0.25">
      <c r="A53">
        <v>53</v>
      </c>
      <c r="B53">
        <v>11</v>
      </c>
      <c r="C53">
        <v>50</v>
      </c>
      <c r="D53">
        <v>55</v>
      </c>
      <c r="E53" s="75">
        <v>163348</v>
      </c>
      <c r="F53" s="75">
        <v>161438</v>
      </c>
      <c r="G53" s="75">
        <v>159620</v>
      </c>
      <c r="H53" s="75">
        <v>157885</v>
      </c>
      <c r="I53" s="75">
        <v>156230</v>
      </c>
      <c r="J53" s="75">
        <v>154648</v>
      </c>
      <c r="K53" s="75">
        <v>153135</v>
      </c>
      <c r="L53" s="75">
        <v>151686</v>
      </c>
      <c r="M53" s="75">
        <v>150298</v>
      </c>
      <c r="N53" s="75">
        <v>148967</v>
      </c>
      <c r="O53" s="75">
        <v>147688</v>
      </c>
      <c r="P53" s="75">
        <v>146460</v>
      </c>
      <c r="Q53" s="75">
        <v>145279</v>
      </c>
      <c r="R53" s="75">
        <v>144143</v>
      </c>
      <c r="S53" s="75">
        <v>143048</v>
      </c>
      <c r="T53" s="75">
        <v>141994</v>
      </c>
      <c r="U53" s="75">
        <v>140977</v>
      </c>
      <c r="V53" s="75">
        <v>139996</v>
      </c>
      <c r="W53" s="75">
        <v>139048</v>
      </c>
      <c r="X53" s="75">
        <v>138133</v>
      </c>
      <c r="Y53" s="75">
        <v>137248</v>
      </c>
      <c r="Z53" s="75">
        <v>136392</v>
      </c>
      <c r="AA53" s="75">
        <v>135564</v>
      </c>
      <c r="AB53" s="75">
        <v>134762</v>
      </c>
      <c r="AC53" s="75">
        <v>133986</v>
      </c>
      <c r="AD53" s="75">
        <v>133233</v>
      </c>
      <c r="AE53" s="75">
        <v>132503</v>
      </c>
      <c r="AF53" s="75">
        <v>131794</v>
      </c>
      <c r="AG53" s="75">
        <v>131107</v>
      </c>
      <c r="AH53" s="75">
        <v>130440</v>
      </c>
      <c r="AI53" s="75">
        <v>129791</v>
      </c>
      <c r="AJ53" s="75">
        <v>129161</v>
      </c>
      <c r="AK53" s="75">
        <v>128548</v>
      </c>
      <c r="AL53" s="75">
        <v>127952</v>
      </c>
      <c r="AM53" s="75">
        <v>127373</v>
      </c>
    </row>
    <row r="54" spans="1:39" x14ac:dyDescent="0.25">
      <c r="A54">
        <v>54</v>
      </c>
      <c r="B54">
        <v>12</v>
      </c>
      <c r="C54">
        <v>55</v>
      </c>
      <c r="D54">
        <v>60</v>
      </c>
      <c r="E54" s="75">
        <v>168757</v>
      </c>
      <c r="F54" s="75">
        <v>166847</v>
      </c>
      <c r="G54" s="75">
        <v>165028</v>
      </c>
      <c r="H54" s="75">
        <v>163294</v>
      </c>
      <c r="I54" s="75">
        <v>161639</v>
      </c>
      <c r="J54" s="75">
        <v>160057</v>
      </c>
      <c r="K54" s="75">
        <v>158544</v>
      </c>
      <c r="L54" s="75">
        <v>157095</v>
      </c>
      <c r="M54" s="75">
        <v>155707</v>
      </c>
      <c r="N54" s="75">
        <v>154375</v>
      </c>
      <c r="O54" s="75">
        <v>153097</v>
      </c>
      <c r="P54" s="75">
        <v>151869</v>
      </c>
      <c r="Q54" s="75">
        <v>150688</v>
      </c>
      <c r="R54" s="75">
        <v>149551</v>
      </c>
      <c r="S54" s="75">
        <v>148457</v>
      </c>
      <c r="T54" s="75">
        <v>147402</v>
      </c>
      <c r="U54" s="75">
        <v>146385</v>
      </c>
      <c r="V54" s="75">
        <v>145404</v>
      </c>
      <c r="W54" s="75">
        <v>144457</v>
      </c>
      <c r="X54" s="75">
        <v>143542</v>
      </c>
      <c r="Y54" s="75">
        <v>142657</v>
      </c>
      <c r="Z54" s="75">
        <v>141801</v>
      </c>
      <c r="AA54" s="75">
        <v>140973</v>
      </c>
      <c r="AB54" s="75">
        <v>140171</v>
      </c>
      <c r="AC54" s="75">
        <v>139394</v>
      </c>
      <c r="AD54" s="75">
        <v>138641</v>
      </c>
      <c r="AE54" s="75">
        <v>137911</v>
      </c>
      <c r="AF54" s="75">
        <v>137203</v>
      </c>
      <c r="AG54" s="75">
        <v>136516</v>
      </c>
      <c r="AH54" s="75">
        <v>135848</v>
      </c>
      <c r="AI54" s="75">
        <v>135200</v>
      </c>
      <c r="AJ54" s="75">
        <v>134569</v>
      </c>
      <c r="AK54" s="75">
        <v>133957</v>
      </c>
      <c r="AL54" s="75">
        <v>133361</v>
      </c>
      <c r="AM54" s="75">
        <v>132781</v>
      </c>
    </row>
    <row r="55" spans="1:39" x14ac:dyDescent="0.25">
      <c r="A55">
        <v>55</v>
      </c>
      <c r="B55">
        <v>13</v>
      </c>
      <c r="C55">
        <v>60</v>
      </c>
      <c r="D55">
        <v>65</v>
      </c>
      <c r="E55" s="75">
        <v>174165</v>
      </c>
      <c r="F55" s="75">
        <v>172256</v>
      </c>
      <c r="G55" s="75">
        <v>170437</v>
      </c>
      <c r="H55" s="75">
        <v>168703</v>
      </c>
      <c r="I55" s="75">
        <v>167047</v>
      </c>
      <c r="J55" s="75">
        <v>165465</v>
      </c>
      <c r="K55" s="75">
        <v>163952</v>
      </c>
      <c r="L55" s="75">
        <v>162504</v>
      </c>
      <c r="M55" s="75">
        <v>161115</v>
      </c>
      <c r="N55" s="75">
        <v>159784</v>
      </c>
      <c r="O55" s="75">
        <v>158505</v>
      </c>
      <c r="P55" s="75">
        <v>157277</v>
      </c>
      <c r="Q55" s="75">
        <v>156096</v>
      </c>
      <c r="R55" s="75">
        <v>154960</v>
      </c>
      <c r="S55" s="75">
        <v>153865</v>
      </c>
      <c r="T55" s="75">
        <v>152811</v>
      </c>
      <c r="U55" s="75">
        <v>151794</v>
      </c>
      <c r="V55" s="75">
        <v>150813</v>
      </c>
      <c r="W55" s="75">
        <v>149865</v>
      </c>
      <c r="X55" s="75">
        <v>148950</v>
      </c>
      <c r="Y55" s="75">
        <v>148065</v>
      </c>
      <c r="Z55" s="75">
        <v>147210</v>
      </c>
      <c r="AA55" s="75">
        <v>146382</v>
      </c>
      <c r="AB55" s="75">
        <v>145580</v>
      </c>
      <c r="AC55" s="75">
        <v>144803</v>
      </c>
      <c r="AD55" s="75">
        <v>144050</v>
      </c>
      <c r="AE55" s="75">
        <v>143320</v>
      </c>
      <c r="AF55" s="75">
        <v>142612</v>
      </c>
      <c r="AG55" s="75">
        <v>141924</v>
      </c>
      <c r="AH55" s="75">
        <v>141257</v>
      </c>
      <c r="AI55" s="75">
        <v>140608</v>
      </c>
      <c r="AJ55" s="75">
        <v>139978</v>
      </c>
      <c r="AK55" s="75">
        <v>139365</v>
      </c>
      <c r="AL55" s="75">
        <v>138770</v>
      </c>
      <c r="AM55" s="75">
        <v>138190</v>
      </c>
    </row>
    <row r="56" spans="1:39" x14ac:dyDescent="0.25">
      <c r="A56">
        <v>56</v>
      </c>
      <c r="B56">
        <v>14</v>
      </c>
      <c r="C56">
        <v>65</v>
      </c>
      <c r="D56">
        <v>70</v>
      </c>
      <c r="E56" s="75">
        <v>179574</v>
      </c>
      <c r="F56" s="75">
        <v>177664</v>
      </c>
      <c r="G56" s="75">
        <v>175845</v>
      </c>
      <c r="H56" s="75">
        <v>174111</v>
      </c>
      <c r="I56" s="75">
        <v>172456</v>
      </c>
      <c r="J56" s="75">
        <v>170874</v>
      </c>
      <c r="K56" s="75">
        <v>169361</v>
      </c>
      <c r="L56" s="75">
        <v>167912</v>
      </c>
      <c r="M56" s="75">
        <v>166524</v>
      </c>
      <c r="N56" s="75">
        <v>165192</v>
      </c>
      <c r="O56" s="75">
        <v>163914</v>
      </c>
      <c r="P56" s="75">
        <v>162686</v>
      </c>
      <c r="Q56" s="75">
        <v>161505</v>
      </c>
      <c r="R56" s="75">
        <v>160368</v>
      </c>
      <c r="S56" s="75">
        <v>159274</v>
      </c>
      <c r="T56" s="75">
        <v>158219</v>
      </c>
      <c r="U56" s="75">
        <v>157203</v>
      </c>
      <c r="V56" s="75">
        <v>156221</v>
      </c>
      <c r="W56" s="75">
        <v>155274</v>
      </c>
      <c r="X56" s="75">
        <v>154359</v>
      </c>
      <c r="Y56" s="75">
        <v>153474</v>
      </c>
      <c r="Z56" s="75">
        <v>152618</v>
      </c>
      <c r="AA56" s="75">
        <v>151790</v>
      </c>
      <c r="AB56" s="75">
        <v>150988</v>
      </c>
      <c r="AC56" s="75">
        <v>150212</v>
      </c>
      <c r="AD56" s="75">
        <v>149459</v>
      </c>
      <c r="AE56" s="75">
        <v>148729</v>
      </c>
      <c r="AF56" s="75">
        <v>148020</v>
      </c>
      <c r="AG56" s="75">
        <v>147333</v>
      </c>
      <c r="AH56" s="75">
        <v>146665</v>
      </c>
      <c r="AI56" s="75">
        <v>146017</v>
      </c>
      <c r="AJ56" s="75">
        <v>145387</v>
      </c>
      <c r="AK56" s="75">
        <v>144774</v>
      </c>
      <c r="AL56" s="75">
        <v>144178</v>
      </c>
      <c r="AM56" s="75">
        <v>143598</v>
      </c>
    </row>
    <row r="57" spans="1:39" x14ac:dyDescent="0.25">
      <c r="A57">
        <v>57</v>
      </c>
      <c r="B57">
        <v>15</v>
      </c>
      <c r="C57">
        <v>70</v>
      </c>
      <c r="D57">
        <v>75</v>
      </c>
      <c r="E57" s="75">
        <v>184982</v>
      </c>
      <c r="F57" s="75">
        <v>183073</v>
      </c>
      <c r="G57" s="75">
        <v>181254</v>
      </c>
      <c r="H57" s="75">
        <v>179520</v>
      </c>
      <c r="I57" s="75">
        <v>177864</v>
      </c>
      <c r="J57" s="75">
        <v>176283</v>
      </c>
      <c r="K57" s="75">
        <v>174769</v>
      </c>
      <c r="L57" s="75">
        <v>173321</v>
      </c>
      <c r="M57" s="75">
        <v>171933</v>
      </c>
      <c r="N57" s="75">
        <v>170601</v>
      </c>
      <c r="O57" s="75">
        <v>169323</v>
      </c>
      <c r="P57" s="75">
        <v>168094</v>
      </c>
      <c r="Q57" s="75">
        <v>166913</v>
      </c>
      <c r="R57" s="75">
        <v>165777</v>
      </c>
      <c r="S57" s="75">
        <v>164683</v>
      </c>
      <c r="T57" s="75">
        <v>163628</v>
      </c>
      <c r="U57" s="75">
        <v>162611</v>
      </c>
      <c r="V57" s="75">
        <v>161630</v>
      </c>
      <c r="W57" s="75">
        <v>160683</v>
      </c>
      <c r="X57" s="75">
        <v>159767</v>
      </c>
      <c r="Y57" s="75">
        <v>158883</v>
      </c>
      <c r="Z57" s="75">
        <v>158027</v>
      </c>
      <c r="AA57" s="75">
        <v>157199</v>
      </c>
      <c r="AB57" s="75">
        <v>156397</v>
      </c>
      <c r="AC57" s="75">
        <v>155620</v>
      </c>
      <c r="AD57" s="75">
        <v>154867</v>
      </c>
      <c r="AE57" s="75">
        <v>154137</v>
      </c>
      <c r="AF57" s="75">
        <v>153429</v>
      </c>
      <c r="AG57" s="75">
        <v>152741</v>
      </c>
      <c r="AH57" s="75">
        <v>152074</v>
      </c>
      <c r="AI57" s="75">
        <v>151425</v>
      </c>
      <c r="AJ57" s="75">
        <v>150795</v>
      </c>
      <c r="AK57" s="75">
        <v>150183</v>
      </c>
      <c r="AL57" s="75">
        <v>149587</v>
      </c>
      <c r="AM57" s="75">
        <v>149007</v>
      </c>
    </row>
    <row r="58" spans="1:39" x14ac:dyDescent="0.25">
      <c r="A58">
        <v>58</v>
      </c>
      <c r="B58">
        <v>16</v>
      </c>
      <c r="C58">
        <v>75</v>
      </c>
      <c r="D58">
        <v>80</v>
      </c>
      <c r="E58" s="75">
        <v>190391</v>
      </c>
      <c r="F58" s="75">
        <v>188481</v>
      </c>
      <c r="G58" s="75">
        <v>186663</v>
      </c>
      <c r="H58" s="75">
        <v>184928</v>
      </c>
      <c r="I58" s="75">
        <v>183273</v>
      </c>
      <c r="J58" s="75">
        <v>181691</v>
      </c>
      <c r="K58" s="75">
        <v>180178</v>
      </c>
      <c r="L58" s="75">
        <v>178729</v>
      </c>
      <c r="M58" s="75">
        <v>177341</v>
      </c>
      <c r="N58" s="75">
        <v>176010</v>
      </c>
      <c r="O58" s="75">
        <v>174731</v>
      </c>
      <c r="P58" s="75">
        <v>173503</v>
      </c>
      <c r="Q58" s="75">
        <v>172322</v>
      </c>
      <c r="R58" s="75">
        <v>171186</v>
      </c>
      <c r="S58" s="75">
        <v>170091</v>
      </c>
      <c r="T58" s="75">
        <v>169037</v>
      </c>
      <c r="U58" s="75">
        <v>168020</v>
      </c>
      <c r="V58" s="75">
        <v>167039</v>
      </c>
      <c r="W58" s="75">
        <v>166091</v>
      </c>
      <c r="X58" s="75">
        <v>165176</v>
      </c>
      <c r="Y58" s="75">
        <v>164291</v>
      </c>
      <c r="Z58" s="75">
        <v>163435</v>
      </c>
      <c r="AA58" s="75">
        <v>162607</v>
      </c>
      <c r="AB58" s="75">
        <v>161805</v>
      </c>
      <c r="AC58" s="75">
        <v>161029</v>
      </c>
      <c r="AD58" s="75">
        <v>160276</v>
      </c>
      <c r="AE58" s="75">
        <v>159546</v>
      </c>
      <c r="AF58" s="75">
        <v>158837</v>
      </c>
      <c r="AG58" s="75">
        <v>158150</v>
      </c>
      <c r="AH58" s="75">
        <v>157483</v>
      </c>
      <c r="AI58" s="75">
        <v>156834</v>
      </c>
      <c r="AJ58" s="75">
        <v>156204</v>
      </c>
      <c r="AK58" s="75">
        <v>155591</v>
      </c>
      <c r="AL58" s="75">
        <v>154995</v>
      </c>
      <c r="AM58" s="75">
        <v>154416</v>
      </c>
    </row>
    <row r="59" spans="1:39" x14ac:dyDescent="0.25">
      <c r="A59">
        <v>59</v>
      </c>
      <c r="B59">
        <v>17</v>
      </c>
      <c r="C59">
        <v>80</v>
      </c>
      <c r="D59">
        <v>85</v>
      </c>
      <c r="E59" s="75">
        <v>195800</v>
      </c>
      <c r="F59" s="75">
        <v>193890</v>
      </c>
      <c r="G59" s="75">
        <v>192071</v>
      </c>
      <c r="H59" s="75">
        <v>190337</v>
      </c>
      <c r="I59" s="75">
        <v>188682</v>
      </c>
      <c r="J59" s="75">
        <v>187100</v>
      </c>
      <c r="K59" s="75">
        <v>185587</v>
      </c>
      <c r="L59" s="75">
        <v>184138</v>
      </c>
      <c r="M59" s="75">
        <v>182750</v>
      </c>
      <c r="N59" s="75">
        <v>181418</v>
      </c>
      <c r="O59" s="75">
        <v>180140</v>
      </c>
      <c r="P59" s="75">
        <v>178912</v>
      </c>
      <c r="Q59" s="75">
        <v>177731</v>
      </c>
      <c r="R59" s="75">
        <v>176594</v>
      </c>
      <c r="S59" s="75">
        <v>175500</v>
      </c>
      <c r="T59" s="75">
        <v>174445</v>
      </c>
      <c r="U59" s="75">
        <v>173428</v>
      </c>
      <c r="V59" s="75">
        <v>172447</v>
      </c>
      <c r="W59" s="75">
        <v>171500</v>
      </c>
      <c r="X59" s="75">
        <v>170585</v>
      </c>
      <c r="Y59" s="75">
        <v>169700</v>
      </c>
      <c r="Z59" s="75">
        <v>168844</v>
      </c>
      <c r="AA59" s="75">
        <v>168016</v>
      </c>
      <c r="AB59" s="75">
        <v>167214</v>
      </c>
      <c r="AC59" s="75">
        <v>166437</v>
      </c>
      <c r="AD59" s="75">
        <v>165684</v>
      </c>
      <c r="AE59" s="75">
        <v>164954</v>
      </c>
      <c r="AF59" s="75">
        <v>164246</v>
      </c>
      <c r="AG59" s="75">
        <v>163559</v>
      </c>
      <c r="AH59" s="75">
        <v>162891</v>
      </c>
      <c r="AI59" s="75">
        <v>162243</v>
      </c>
      <c r="AJ59" s="75">
        <v>161612</v>
      </c>
      <c r="AK59" s="75">
        <v>161000</v>
      </c>
      <c r="AL59" s="75">
        <v>160404</v>
      </c>
      <c r="AM59" s="75">
        <v>159824</v>
      </c>
    </row>
    <row r="60" spans="1:39" x14ac:dyDescent="0.25">
      <c r="A60">
        <v>60</v>
      </c>
      <c r="B60">
        <v>18</v>
      </c>
      <c r="C60">
        <v>85</v>
      </c>
      <c r="D60">
        <v>90</v>
      </c>
      <c r="E60" s="75">
        <v>201208</v>
      </c>
      <c r="F60" s="75">
        <v>199299</v>
      </c>
      <c r="G60" s="75">
        <v>197480</v>
      </c>
      <c r="H60" s="75">
        <v>195746</v>
      </c>
      <c r="I60" s="75">
        <v>194090</v>
      </c>
      <c r="J60" s="75">
        <v>192508</v>
      </c>
      <c r="K60" s="75">
        <v>190995</v>
      </c>
      <c r="L60" s="75">
        <v>189547</v>
      </c>
      <c r="M60" s="75">
        <v>188158</v>
      </c>
      <c r="N60" s="75">
        <v>186827</v>
      </c>
      <c r="O60" s="75">
        <v>185548</v>
      </c>
      <c r="P60" s="75">
        <v>184320</v>
      </c>
      <c r="Q60" s="75">
        <v>183139</v>
      </c>
      <c r="R60" s="75">
        <v>182003</v>
      </c>
      <c r="S60" s="75">
        <v>180908</v>
      </c>
      <c r="T60" s="75">
        <v>179854</v>
      </c>
      <c r="U60" s="75">
        <v>178837</v>
      </c>
      <c r="V60" s="75">
        <v>177856</v>
      </c>
      <c r="W60" s="75">
        <v>176908</v>
      </c>
      <c r="X60" s="75">
        <v>175993</v>
      </c>
      <c r="Y60" s="75">
        <v>175108</v>
      </c>
      <c r="Z60" s="75">
        <v>174253</v>
      </c>
      <c r="AA60" s="75">
        <v>173425</v>
      </c>
      <c r="AB60" s="75">
        <v>172623</v>
      </c>
      <c r="AC60" s="75">
        <v>171846</v>
      </c>
      <c r="AD60" s="75">
        <v>171093</v>
      </c>
      <c r="AE60" s="75">
        <v>170363</v>
      </c>
      <c r="AF60" s="75">
        <v>169655</v>
      </c>
      <c r="AG60" s="75">
        <v>168967</v>
      </c>
      <c r="AH60" s="75">
        <v>168300</v>
      </c>
      <c r="AI60" s="75">
        <v>167651</v>
      </c>
      <c r="AJ60" s="75">
        <v>167021</v>
      </c>
      <c r="AK60" s="75">
        <v>166408</v>
      </c>
      <c r="AL60" s="75">
        <v>165813</v>
      </c>
      <c r="AM60" s="75">
        <v>165233</v>
      </c>
    </row>
    <row r="61" spans="1:39" x14ac:dyDescent="0.25">
      <c r="A61">
        <v>61</v>
      </c>
      <c r="B61">
        <v>19</v>
      </c>
      <c r="C61">
        <v>90</v>
      </c>
      <c r="D61">
        <v>95</v>
      </c>
      <c r="E61" s="75">
        <v>206617</v>
      </c>
      <c r="F61" s="75">
        <v>204707</v>
      </c>
      <c r="G61" s="75">
        <v>202888</v>
      </c>
      <c r="H61" s="75">
        <v>201154</v>
      </c>
      <c r="I61" s="75">
        <v>199499</v>
      </c>
      <c r="J61" s="75">
        <v>197917</v>
      </c>
      <c r="K61" s="75">
        <v>196404</v>
      </c>
      <c r="L61" s="75">
        <v>194955</v>
      </c>
      <c r="M61" s="75">
        <v>193567</v>
      </c>
      <c r="N61" s="75">
        <v>192235</v>
      </c>
      <c r="O61" s="75">
        <v>190957</v>
      </c>
      <c r="P61" s="75">
        <v>189729</v>
      </c>
      <c r="Q61" s="75">
        <v>188548</v>
      </c>
      <c r="R61" s="75">
        <v>187411</v>
      </c>
      <c r="S61" s="75">
        <v>186317</v>
      </c>
      <c r="T61" s="75">
        <v>185262</v>
      </c>
      <c r="U61" s="75">
        <v>184246</v>
      </c>
      <c r="V61" s="75">
        <v>183264</v>
      </c>
      <c r="W61" s="75">
        <v>182317</v>
      </c>
      <c r="X61" s="75">
        <v>181402</v>
      </c>
      <c r="Y61" s="75">
        <v>180517</v>
      </c>
      <c r="Z61" s="75">
        <v>179661</v>
      </c>
      <c r="AA61" s="75">
        <v>178833</v>
      </c>
      <c r="AB61" s="75">
        <v>178031</v>
      </c>
      <c r="AC61" s="75">
        <v>177255</v>
      </c>
      <c r="AD61" s="75">
        <v>176502</v>
      </c>
      <c r="AE61" s="75">
        <v>175772</v>
      </c>
      <c r="AF61" s="75">
        <v>175063</v>
      </c>
      <c r="AG61" s="75">
        <v>174376</v>
      </c>
      <c r="AH61" s="75">
        <v>173708</v>
      </c>
      <c r="AI61" s="75">
        <v>173060</v>
      </c>
      <c r="AJ61" s="75">
        <v>172430</v>
      </c>
      <c r="AK61" s="75">
        <v>171817</v>
      </c>
      <c r="AL61" s="75">
        <v>171221</v>
      </c>
      <c r="AM61" s="75">
        <v>170641</v>
      </c>
    </row>
    <row r="62" spans="1:39" x14ac:dyDescent="0.25">
      <c r="A62">
        <v>62</v>
      </c>
      <c r="B62">
        <v>20</v>
      </c>
      <c r="C62">
        <v>95</v>
      </c>
      <c r="D62">
        <v>100</v>
      </c>
      <c r="E62" s="75">
        <v>212025</v>
      </c>
      <c r="F62" s="75">
        <v>210116</v>
      </c>
      <c r="G62" s="75">
        <v>208297</v>
      </c>
      <c r="H62" s="75">
        <v>206563</v>
      </c>
      <c r="I62" s="75">
        <v>204907</v>
      </c>
      <c r="J62" s="75">
        <v>203326</v>
      </c>
      <c r="K62" s="75">
        <v>201812</v>
      </c>
      <c r="L62" s="75">
        <v>200364</v>
      </c>
      <c r="M62" s="75">
        <v>198976</v>
      </c>
      <c r="N62" s="75">
        <v>197644</v>
      </c>
      <c r="O62" s="75">
        <v>196366</v>
      </c>
      <c r="P62" s="75">
        <v>195137</v>
      </c>
      <c r="Q62" s="75">
        <v>193956</v>
      </c>
      <c r="R62" s="75">
        <v>192820</v>
      </c>
      <c r="S62" s="75">
        <v>191726</v>
      </c>
      <c r="T62" s="75">
        <v>190671</v>
      </c>
      <c r="U62" s="75">
        <v>189654</v>
      </c>
      <c r="V62" s="75">
        <v>188673</v>
      </c>
      <c r="W62" s="75">
        <v>187726</v>
      </c>
      <c r="X62" s="75">
        <v>186810</v>
      </c>
      <c r="Y62" s="75">
        <v>185926</v>
      </c>
      <c r="Z62" s="75">
        <v>185070</v>
      </c>
      <c r="AA62" s="75">
        <v>184242</v>
      </c>
      <c r="AB62" s="75">
        <v>183440</v>
      </c>
      <c r="AC62" s="75">
        <v>182663</v>
      </c>
      <c r="AD62" s="75">
        <v>181910</v>
      </c>
      <c r="AE62" s="75">
        <v>181180</v>
      </c>
      <c r="AF62" s="75">
        <v>180472</v>
      </c>
      <c r="AG62" s="75">
        <v>179784</v>
      </c>
      <c r="AH62" s="75">
        <v>179117</v>
      </c>
      <c r="AI62" s="75">
        <v>178468</v>
      </c>
      <c r="AJ62" s="75">
        <v>177838</v>
      </c>
      <c r="AK62" s="75">
        <v>177226</v>
      </c>
      <c r="AL62" s="75">
        <v>176630</v>
      </c>
      <c r="AM62" s="75">
        <v>176050</v>
      </c>
    </row>
    <row r="63" spans="1:39" x14ac:dyDescent="0.25">
      <c r="A63">
        <v>63</v>
      </c>
    </row>
  </sheetData>
  <mergeCells count="1">
    <mergeCell ref="C42:D42"/>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4798E-9DCC-4369-94A9-157ED58573D2}">
  <sheetPr codeName="Hoja6">
    <tabColor theme="6"/>
  </sheetPr>
  <dimension ref="A1:M7"/>
  <sheetViews>
    <sheetView workbookViewId="0">
      <pane xSplit="1" topLeftCell="B1" activePane="topRight" state="frozen"/>
      <selection activeCell="B128" sqref="B128"/>
      <selection pane="topRight" activeCell="B128" sqref="B128"/>
    </sheetView>
  </sheetViews>
  <sheetFormatPr baseColWidth="10" defaultColWidth="11.42578125" defaultRowHeight="15" x14ac:dyDescent="0.25"/>
  <cols>
    <col min="1" max="1" width="78.140625" bestFit="1" customWidth="1"/>
    <col min="2" max="2" width="13.28515625" bestFit="1" customWidth="1"/>
    <col min="3" max="3" width="13.28515625" customWidth="1"/>
    <col min="4" max="4" width="7.28515625" bestFit="1" customWidth="1"/>
    <col min="5" max="5" width="12.5703125" bestFit="1" customWidth="1"/>
    <col min="6" max="6" width="22.140625" bestFit="1" customWidth="1"/>
    <col min="8" max="8" width="12.5703125" bestFit="1" customWidth="1"/>
    <col min="9" max="9" width="12.28515625" bestFit="1" customWidth="1"/>
    <col min="10" max="10" width="22.140625" bestFit="1" customWidth="1"/>
    <col min="11" max="11" width="11.85546875" bestFit="1" customWidth="1"/>
    <col min="12" max="12" width="16" customWidth="1"/>
    <col min="13" max="13" width="18.28515625" customWidth="1"/>
  </cols>
  <sheetData>
    <row r="1" spans="1:13" x14ac:dyDescent="0.25">
      <c r="A1" s="285" t="s">
        <v>259</v>
      </c>
      <c r="B1" s="285" t="s">
        <v>326</v>
      </c>
      <c r="C1" s="285"/>
      <c r="D1" s="285"/>
      <c r="E1" s="285"/>
      <c r="F1" s="285"/>
      <c r="G1" s="285"/>
      <c r="H1" s="285"/>
      <c r="I1" s="285"/>
      <c r="J1" s="285"/>
      <c r="K1" s="285"/>
      <c r="L1" s="286" t="s">
        <v>327</v>
      </c>
      <c r="M1" s="286" t="s">
        <v>163</v>
      </c>
    </row>
    <row r="2" spans="1:13" x14ac:dyDescent="0.25">
      <c r="A2" s="285"/>
      <c r="B2" t="s">
        <v>328</v>
      </c>
      <c r="C2" t="s">
        <v>329</v>
      </c>
      <c r="D2" t="s">
        <v>330</v>
      </c>
      <c r="E2" t="s">
        <v>160</v>
      </c>
      <c r="F2" t="s">
        <v>331</v>
      </c>
      <c r="G2" t="s">
        <v>330</v>
      </c>
      <c r="H2" t="s">
        <v>160</v>
      </c>
      <c r="I2" t="s">
        <v>130</v>
      </c>
      <c r="J2" t="s">
        <v>40</v>
      </c>
      <c r="K2" t="s">
        <v>160</v>
      </c>
      <c r="L2" s="286"/>
      <c r="M2" s="286"/>
    </row>
    <row r="3" spans="1:13" x14ac:dyDescent="0.25">
      <c r="A3" t="s">
        <v>274</v>
      </c>
      <c r="B3">
        <v>1000</v>
      </c>
      <c r="C3">
        <v>200000</v>
      </c>
      <c r="D3" t="s">
        <v>332</v>
      </c>
      <c r="E3" t="str">
        <f>IF(AND((Cálculo!$B$127)&gt;=B3,(Cálculo!$B$127)&lt;=C3),"Adecuado", "No adecuado")</f>
        <v>No adecuado</v>
      </c>
      <c r="F3" s="12">
        <v>0.5</v>
      </c>
      <c r="G3" t="s">
        <v>333</v>
      </c>
      <c r="H3" t="e">
        <f>IF((((Cálculo!$B$127)/(Cálculo!$B$126))*'Información referencia'!$B$2)&gt;=F3,"Adecuado","No adecuado")</f>
        <v>#DIV/0!</v>
      </c>
      <c r="I3" t="s">
        <v>334</v>
      </c>
      <c r="J3" t="s">
        <v>187</v>
      </c>
      <c r="K3" t="str">
        <f>IF(Cálculo!$C$136="Alta","Adecuado","No adecuado")</f>
        <v>No adecuado</v>
      </c>
      <c r="L3">
        <v>3</v>
      </c>
      <c r="M3" s="14">
        <f>COUNTIF(B3:K3,"Adecuado")/L3</f>
        <v>0</v>
      </c>
    </row>
    <row r="4" spans="1:13" x14ac:dyDescent="0.25">
      <c r="A4" t="s">
        <v>282</v>
      </c>
      <c r="B4">
        <v>1000</v>
      </c>
      <c r="C4">
        <v>200000</v>
      </c>
      <c r="D4" t="s">
        <v>332</v>
      </c>
      <c r="E4" t="str">
        <f>IF(AND((Cálculo!$B$127)&gt;=B4,(Cálculo!$B$127)&lt;=C4),"Adecuado", "No adecuado")</f>
        <v>No adecuado</v>
      </c>
      <c r="F4" s="12">
        <v>0.5</v>
      </c>
      <c r="G4" t="s">
        <v>333</v>
      </c>
      <c r="H4" t="e">
        <f>IF((((Cálculo!$B$127)/(Cálculo!$B$126))*'Información referencia'!$B$2)&gt;=F4,"Adecuado","No adecuado")</f>
        <v>#DIV/0!</v>
      </c>
      <c r="I4" t="s">
        <v>334</v>
      </c>
      <c r="J4" t="s">
        <v>187</v>
      </c>
      <c r="K4" t="str">
        <f>IF(Cálculo!$C$136="Alta","Adecuado","No adecuado")</f>
        <v>No adecuado</v>
      </c>
      <c r="L4">
        <v>3</v>
      </c>
      <c r="M4" s="14">
        <f>COUNTIF(B4:K4,"Adecuado")/L4</f>
        <v>0</v>
      </c>
    </row>
    <row r="5" spans="1:13" x14ac:dyDescent="0.25">
      <c r="A5" t="s">
        <v>285</v>
      </c>
      <c r="B5">
        <v>5000</v>
      </c>
      <c r="C5">
        <v>300000</v>
      </c>
      <c r="D5" t="s">
        <v>332</v>
      </c>
      <c r="E5" t="str">
        <f>IF(AND((Cálculo!$B$127)&gt;=B5,(Cálculo!$B$127)&lt;=C5),"Adecuado", "No adecuado")</f>
        <v>No adecuado</v>
      </c>
      <c r="F5" s="12">
        <v>0.5</v>
      </c>
      <c r="G5" t="s">
        <v>333</v>
      </c>
      <c r="H5" t="e">
        <f>IF((((Cálculo!$B$127)/(Cálculo!$B$126))*'Información referencia'!$B$2)&gt;=F5,"Adecuado","No adecuado")</f>
        <v>#DIV/0!</v>
      </c>
      <c r="I5" t="s">
        <v>334</v>
      </c>
      <c r="J5" t="s">
        <v>187</v>
      </c>
      <c r="K5" t="str">
        <f>IF(Cálculo!$C$136="Alta","Adecuado","No adecuado")</f>
        <v>No adecuado</v>
      </c>
      <c r="L5">
        <v>3</v>
      </c>
      <c r="M5" s="14">
        <f>COUNTIF(B5:K5,"Adecuado")/L5</f>
        <v>0</v>
      </c>
    </row>
    <row r="6" spans="1:13" x14ac:dyDescent="0.25">
      <c r="A6" t="s">
        <v>289</v>
      </c>
      <c r="B6">
        <v>20000</v>
      </c>
      <c r="C6">
        <v>500000</v>
      </c>
      <c r="D6" t="s">
        <v>332</v>
      </c>
      <c r="E6" t="str">
        <f>IF(AND((Cálculo!$B$126)&gt;=B6,(Cálculo!$B$127)&lt;=C6),"Adecuado", "No adecuado")</f>
        <v>No adecuado</v>
      </c>
      <c r="F6" s="12">
        <v>0</v>
      </c>
      <c r="G6" t="s">
        <v>333</v>
      </c>
      <c r="H6" t="e">
        <f>IF((((Cálculo!$B$127)/(Cálculo!$B$126))*'Información referencia'!$B$2)&gt;=F6,"Adecuado","No adecuado")</f>
        <v>#DIV/0!</v>
      </c>
      <c r="I6" t="s">
        <v>335</v>
      </c>
      <c r="J6" t="s">
        <v>191</v>
      </c>
      <c r="K6" t="str">
        <f>IF(OR(Cálculo!$C$136="Media",Cálculo!$C$136="Alta"),"Adecuado","No adecuado")</f>
        <v>No adecuado</v>
      </c>
      <c r="L6">
        <v>3</v>
      </c>
      <c r="M6" s="14">
        <f>COUNTIF(B6:K6,"Adecuado")/L6</f>
        <v>0</v>
      </c>
    </row>
    <row r="7" spans="1:13" x14ac:dyDescent="0.25">
      <c r="A7" t="s">
        <v>297</v>
      </c>
      <c r="B7">
        <v>20000</v>
      </c>
      <c r="C7">
        <v>500000</v>
      </c>
      <c r="D7" t="s">
        <v>332</v>
      </c>
      <c r="E7" t="str">
        <f>IF(AND((Cálculo!$B$127)&gt;=B7,(Cálculo!$B$126)&lt;=C7),"Adecuado", "No adecuado")</f>
        <v>No adecuado</v>
      </c>
      <c r="F7" s="12">
        <v>0.6</v>
      </c>
      <c r="G7" t="s">
        <v>333</v>
      </c>
      <c r="H7" t="e">
        <f>IF((((Cálculo!$B$127)/(Cálculo!$B$126))*'Información referencia'!$B$2)&gt;=F7,"Adecuado","No adecuado")</f>
        <v>#DIV/0!</v>
      </c>
      <c r="I7" t="s">
        <v>335</v>
      </c>
      <c r="J7" t="s">
        <v>189</v>
      </c>
      <c r="K7" t="str">
        <f>IF(OR(Cálculo!C136="Media",Cálculo!$C$136="Alta"),"Adecuado","No adecuado")</f>
        <v>No adecuado</v>
      </c>
      <c r="L7">
        <v>3</v>
      </c>
      <c r="M7" s="14">
        <f>COUNTIF(B7:K7,"Adecuado")/L7</f>
        <v>0</v>
      </c>
    </row>
  </sheetData>
  <mergeCells count="4">
    <mergeCell ref="B1:K1"/>
    <mergeCell ref="A1:A2"/>
    <mergeCell ref="M1:M2"/>
    <mergeCell ref="L1:L2"/>
  </mergeCells>
  <conditionalFormatting sqref="E3 H3:H7 K3:L7">
    <cfRule type="cellIs" dxfId="5" priority="19" operator="equal">
      <formula>"Adecuado"</formula>
    </cfRule>
    <cfRule type="cellIs" dxfId="4" priority="20" operator="equal">
      <formula>"No adecuado"</formula>
    </cfRule>
  </conditionalFormatting>
  <conditionalFormatting sqref="E4:E7">
    <cfRule type="cellIs" dxfId="3" priority="17" operator="equal">
      <formula>"Adecuado"</formula>
    </cfRule>
    <cfRule type="cellIs" dxfId="2" priority="18" operator="equal">
      <formula>"No adecuado"</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93A90-D06E-45F6-84C7-8EB1703328AA}">
  <sheetPr codeName="Hoja5">
    <tabColor theme="6"/>
  </sheetPr>
  <dimension ref="A1:S77"/>
  <sheetViews>
    <sheetView topLeftCell="A67" zoomScale="75" zoomScaleNormal="100" workbookViewId="0">
      <selection activeCell="B128" sqref="B128"/>
    </sheetView>
  </sheetViews>
  <sheetFormatPr baseColWidth="10" defaultColWidth="11.42578125" defaultRowHeight="15" x14ac:dyDescent="0.25"/>
  <cols>
    <col min="1" max="1" width="40" customWidth="1"/>
    <col min="2" max="2" width="11.42578125" customWidth="1"/>
    <col min="3" max="3" width="42.140625" customWidth="1"/>
    <col min="4" max="4" width="18.28515625" bestFit="1" customWidth="1"/>
    <col min="5" max="5" width="17.140625" bestFit="1" customWidth="1"/>
    <col min="6" max="6" width="17.28515625" bestFit="1" customWidth="1"/>
    <col min="7" max="7" width="14.28515625" bestFit="1" customWidth="1"/>
    <col min="8" max="8" width="17.140625" bestFit="1" customWidth="1"/>
    <col min="9" max="9" width="15.140625" customWidth="1"/>
    <col min="10" max="10" width="12" hidden="1" customWidth="1"/>
    <col min="11" max="12" width="19.85546875" hidden="1" customWidth="1"/>
    <col min="13" max="13" width="28.7109375" style="77" customWidth="1"/>
    <col min="14" max="14" width="26.28515625" customWidth="1"/>
    <col min="15" max="15" width="28.7109375" style="77" customWidth="1"/>
    <col min="16" max="16" width="22.42578125" customWidth="1"/>
    <col min="17" max="17" width="17.85546875" style="182" customWidth="1"/>
  </cols>
  <sheetData>
    <row r="1" spans="1:19" ht="15" customHeight="1" x14ac:dyDescent="0.25">
      <c r="B1">
        <v>1</v>
      </c>
      <c r="C1" s="280" t="str">
        <f>+'Fichas técnicas Tecnologías'!A3</f>
        <v>Compostaje en pilas con volteo manual</v>
      </c>
      <c r="D1" s="280"/>
      <c r="E1" s="280"/>
      <c r="F1" s="280"/>
      <c r="G1" s="280"/>
      <c r="H1" s="280"/>
      <c r="I1" s="280"/>
      <c r="J1" s="280"/>
      <c r="K1" s="280"/>
      <c r="L1" s="74"/>
      <c r="M1" s="287" t="s">
        <v>336</v>
      </c>
      <c r="N1" s="287"/>
      <c r="O1" s="287" t="s">
        <v>337</v>
      </c>
      <c r="P1" s="287"/>
    </row>
    <row r="2" spans="1:19" x14ac:dyDescent="0.25">
      <c r="B2">
        <v>2</v>
      </c>
      <c r="C2" s="70" t="s">
        <v>338</v>
      </c>
      <c r="D2" s="290">
        <v>38933</v>
      </c>
      <c r="E2" s="290"/>
      <c r="F2" s="290">
        <v>9125</v>
      </c>
      <c r="G2" s="290"/>
      <c r="H2" s="291">
        <v>304</v>
      </c>
      <c r="I2" s="291"/>
      <c r="J2" s="292" t="s">
        <v>339</v>
      </c>
      <c r="K2" s="292"/>
      <c r="L2" s="69"/>
      <c r="M2" s="287"/>
      <c r="N2" s="287"/>
      <c r="O2" s="287"/>
      <c r="P2" s="287"/>
    </row>
    <row r="3" spans="1:19" x14ac:dyDescent="0.25">
      <c r="B3">
        <v>3</v>
      </c>
      <c r="C3" s="70" t="s">
        <v>340</v>
      </c>
      <c r="D3" s="71" t="s">
        <v>341</v>
      </c>
      <c r="E3" s="71" t="s">
        <v>342</v>
      </c>
      <c r="F3" s="71" t="s">
        <v>341</v>
      </c>
      <c r="G3" s="71" t="s">
        <v>342</v>
      </c>
      <c r="H3" s="71" t="s">
        <v>341</v>
      </c>
      <c r="I3" s="71" t="s">
        <v>342</v>
      </c>
      <c r="J3" s="69" t="s">
        <v>343</v>
      </c>
      <c r="K3" s="69" t="s">
        <v>344</v>
      </c>
      <c r="L3" s="69" t="s">
        <v>345</v>
      </c>
      <c r="M3" s="70" t="s">
        <v>346</v>
      </c>
      <c r="N3" s="69" t="s">
        <v>347</v>
      </c>
      <c r="O3" s="70" t="s">
        <v>346</v>
      </c>
      <c r="P3" s="69" t="s">
        <v>347</v>
      </c>
    </row>
    <row r="4" spans="1:19" x14ac:dyDescent="0.25">
      <c r="A4" t="str">
        <f>$C$1</f>
        <v>Compostaje en pilas con volteo manual</v>
      </c>
      <c r="B4">
        <v>4</v>
      </c>
      <c r="C4" t="s">
        <v>348</v>
      </c>
      <c r="D4" s="68">
        <f>708100645*D14</f>
        <v>637290580.5</v>
      </c>
      <c r="E4" s="68">
        <f>+D4/($D$2*12)</f>
        <v>1364.0754212364832</v>
      </c>
      <c r="F4" s="68">
        <f>165961089*F14</f>
        <v>157663034.54999998</v>
      </c>
      <c r="G4" s="68">
        <f>+F4/($F$2*12)</f>
        <v>1439.8450643835615</v>
      </c>
      <c r="H4" s="68">
        <v>5532036</v>
      </c>
      <c r="I4" s="68">
        <f>IFERROR(H4/($H$2*12),0)</f>
        <v>1516.4572368421052</v>
      </c>
      <c r="J4" s="68">
        <f t="shared" ref="J4:J11" si="0">+E4</f>
        <v>1364.0754212364832</v>
      </c>
      <c r="K4" s="68">
        <f t="shared" ref="K4:K11" si="1">+G4</f>
        <v>1439.8450643835615</v>
      </c>
      <c r="L4" s="68">
        <f t="shared" ref="L4:L9" si="2">+MAX(E4,G4,I4)</f>
        <v>1516.4572368421052</v>
      </c>
      <c r="M4" s="77">
        <f>+IF('Fichas técnicas Tecnologías'!$Y$3&lt;=$H$2*12,I4,IF(AND('Fichas técnicas Tecnologías'!$Y$3&gt;$H$2*12,'Fichas técnicas Tecnologías'!$Y$3&lt;=$F$2*12),G4,E4))</f>
        <v>1364.0754212364832</v>
      </c>
      <c r="N4" s="76">
        <f>ROUND('Fichas técnicas Tecnologías'!$X$3*M4,-6)</f>
        <v>273000000</v>
      </c>
      <c r="O4" s="77">
        <f>+IF('Fichas técnicas Tecnologías'!$Y$3&lt;=$H$2*12,I4,IF(AND('Fichas técnicas Tecnologías'!$Y$3&gt;$H$2*12,'Fichas técnicas Tecnologías'!$Y$3&lt;=$F$2*12),G4,E4))</f>
        <v>1364.0754212364832</v>
      </c>
      <c r="P4" s="76">
        <f>IFERROR(ROUND('Fichas técnicas Tecnologías'!$Y$3*O4,-6),"Se debe indicar cantidades en los datos de entrada")</f>
        <v>273000000</v>
      </c>
      <c r="R4" s="158"/>
      <c r="S4" s="158"/>
    </row>
    <row r="5" spans="1:19" x14ac:dyDescent="0.25">
      <c r="B5">
        <v>5</v>
      </c>
      <c r="C5" t="s">
        <v>349</v>
      </c>
      <c r="D5" s="68">
        <f>2734906203*D14</f>
        <v>2461415582.7000003</v>
      </c>
      <c r="E5" s="68">
        <f t="shared" ref="E5:E11" si="3">+D5/($D$2*12)</f>
        <v>5268.4859945290636</v>
      </c>
      <c r="F5" s="68">
        <f>640993641*F14</f>
        <v>608943958.94999993</v>
      </c>
      <c r="G5" s="68">
        <f t="shared" ref="G5:G11" si="4">+F5/($F$2*12)</f>
        <v>5561.1320452054788</v>
      </c>
      <c r="H5" s="68">
        <v>21366455</v>
      </c>
      <c r="I5" s="68">
        <f t="shared" ref="I5:I11" si="5">IFERROR(H5/($H$2*12),0)</f>
        <v>5857.0326206140353</v>
      </c>
      <c r="J5" s="68">
        <f t="shared" si="0"/>
        <v>5268.4859945290636</v>
      </c>
      <c r="K5" s="68">
        <f t="shared" si="1"/>
        <v>5561.1320452054788</v>
      </c>
      <c r="L5" s="68">
        <f t="shared" si="2"/>
        <v>5857.0326206140353</v>
      </c>
      <c r="M5" s="77">
        <f>+IF('Fichas técnicas Tecnologías'!$Y$3&lt;=$H$2*12,I5,IF(AND('Fichas técnicas Tecnologías'!$Y$3&gt;$H$2*12,'Fichas técnicas Tecnologías'!$Y$3&lt;=$F$2*12),G5,E5))</f>
        <v>5268.4859945290636</v>
      </c>
      <c r="N5" s="76">
        <f>ROUND('Fichas técnicas Tecnologías'!$X$3*M5,-6)</f>
        <v>1054000000</v>
      </c>
      <c r="O5" s="77">
        <f>+IF('Fichas técnicas Tecnologías'!$Y$3&lt;=$H$2*12,I5,IF(AND('Fichas técnicas Tecnologías'!$Y$3&gt;$H$2*12,'Fichas técnicas Tecnologías'!$Y$3&lt;=$F$2*12),G5,E5))</f>
        <v>5268.4859945290636</v>
      </c>
      <c r="P5" s="76">
        <f>IFERROR(ROUND('Fichas técnicas Tecnologías'!$Y$3*O5,-6),"Se debe indicar cantidades en los datos de entrada")</f>
        <v>1054000000</v>
      </c>
      <c r="R5" s="158"/>
      <c r="S5" s="158"/>
    </row>
    <row r="6" spans="1:19" x14ac:dyDescent="0.25">
      <c r="B6">
        <v>6</v>
      </c>
      <c r="C6" t="s">
        <v>350</v>
      </c>
      <c r="D6" s="68">
        <f>85465819*D14</f>
        <v>76919237.100000009</v>
      </c>
      <c r="E6" s="68">
        <f t="shared" si="3"/>
        <v>164.64018763003111</v>
      </c>
      <c r="F6" s="68">
        <f>20031051*F14</f>
        <v>19029498.449999999</v>
      </c>
      <c r="G6" s="68">
        <f t="shared" si="4"/>
        <v>173.78537397260274</v>
      </c>
      <c r="H6" s="68">
        <v>667702</v>
      </c>
      <c r="I6" s="68">
        <f t="shared" si="5"/>
        <v>183.03234649122808</v>
      </c>
      <c r="J6" s="68">
        <f t="shared" si="0"/>
        <v>164.64018763003111</v>
      </c>
      <c r="K6" s="68">
        <f t="shared" si="1"/>
        <v>173.78537397260274</v>
      </c>
      <c r="L6" s="68">
        <f t="shared" si="2"/>
        <v>183.03234649122808</v>
      </c>
      <c r="M6" s="77">
        <f>+IF('Fichas técnicas Tecnologías'!$Y$3&lt;=$H$2*12,I6,IF(AND('Fichas técnicas Tecnologías'!$Y$3&gt;$H$2*12,'Fichas técnicas Tecnologías'!$Y$3&lt;=$F$2*12),G6,E6))</f>
        <v>164.64018763003111</v>
      </c>
      <c r="N6" s="76">
        <f>ROUND('Fichas técnicas Tecnologías'!$X$3*M6,-6)</f>
        <v>33000000</v>
      </c>
      <c r="O6" s="77">
        <f>+IF('Fichas técnicas Tecnologías'!$Y$3&lt;=$H$2*12,I6,IF(AND('Fichas técnicas Tecnologías'!$Y$3&gt;$H$2*12,'Fichas técnicas Tecnologías'!$Y$3&lt;=$F$2*12),G6,E6))</f>
        <v>164.64018763003111</v>
      </c>
      <c r="P6" s="76">
        <f>IFERROR(ROUND('Fichas técnicas Tecnologías'!$Y$3*O6,-6),"Se debe indicar cantidades en los datos de entrada")</f>
        <v>33000000</v>
      </c>
      <c r="R6" s="158"/>
      <c r="S6" s="158"/>
    </row>
    <row r="7" spans="1:19" x14ac:dyDescent="0.25">
      <c r="B7">
        <v>7</v>
      </c>
      <c r="C7" t="s">
        <v>351</v>
      </c>
      <c r="D7" s="68">
        <f>9157052019*D14</f>
        <v>8241346817.1000004</v>
      </c>
      <c r="E7" s="68">
        <f t="shared" si="3"/>
        <v>17640.020071019444</v>
      </c>
      <c r="F7" s="68">
        <f>2146184067*F14</f>
        <v>2038874863.6499999</v>
      </c>
      <c r="G7" s="68">
        <f t="shared" si="4"/>
        <v>18619.861768493149</v>
      </c>
      <c r="H7" s="68">
        <f>+G7*H2*12</f>
        <v>67925255.731463015</v>
      </c>
      <c r="I7" s="68">
        <f t="shared" si="5"/>
        <v>18619.861768493152</v>
      </c>
      <c r="J7" s="68">
        <f t="shared" si="0"/>
        <v>17640.020071019444</v>
      </c>
      <c r="K7" s="68">
        <f t="shared" si="1"/>
        <v>18619.861768493149</v>
      </c>
      <c r="L7" s="68">
        <f t="shared" si="2"/>
        <v>18619.861768493152</v>
      </c>
      <c r="M7" s="77">
        <f>+IF('Fichas técnicas Tecnologías'!$Y$3&lt;=$H$2*12,I7,IF(AND('Fichas técnicas Tecnologías'!$Y$3&gt;$H$2*12,'Fichas técnicas Tecnologías'!$Y$3&lt;=$F$2*12),G7,E7))</f>
        <v>17640.020071019444</v>
      </c>
      <c r="N7" s="76">
        <f>ROUND('Fichas técnicas Tecnologías'!$X$3*M7,-6)</f>
        <v>3528000000</v>
      </c>
      <c r="O7" s="77">
        <f>+IF('Fichas técnicas Tecnologías'!$Y$3&lt;=$H$2*12,I7,IF(AND('Fichas técnicas Tecnologías'!$Y$3&gt;$H$2*12,'Fichas técnicas Tecnologías'!$Y$3&lt;=$F$2*12),G7,E7))</f>
        <v>17640.020071019444</v>
      </c>
      <c r="P7" s="76">
        <f>IFERROR(ROUND('Fichas técnicas Tecnologías'!$Y$3*O7,-6),"Se debe indicar cantidades en los datos de entrada")</f>
        <v>3528000000</v>
      </c>
      <c r="R7" s="158"/>
      <c r="S7" s="158"/>
    </row>
    <row r="8" spans="1:19" x14ac:dyDescent="0.25">
      <c r="B8">
        <v>8</v>
      </c>
      <c r="C8" t="s">
        <v>352</v>
      </c>
      <c r="D8" s="68">
        <v>45000000</v>
      </c>
      <c r="E8" s="68">
        <f t="shared" si="3"/>
        <v>96.31931780237845</v>
      </c>
      <c r="F8" s="68">
        <v>31359767</v>
      </c>
      <c r="G8" s="68">
        <f t="shared" si="4"/>
        <v>286.39056621004568</v>
      </c>
      <c r="H8" s="68">
        <v>7839942</v>
      </c>
      <c r="I8" s="68">
        <f t="shared" si="5"/>
        <v>2149.1069078947367</v>
      </c>
      <c r="J8" s="68">
        <f t="shared" si="0"/>
        <v>96.31931780237845</v>
      </c>
      <c r="K8" s="68">
        <f t="shared" si="1"/>
        <v>286.39056621004568</v>
      </c>
      <c r="L8" s="68">
        <f t="shared" si="2"/>
        <v>2149.1069078947367</v>
      </c>
      <c r="M8" s="77">
        <f>+IF('Fichas técnicas Tecnologías'!$Y$3&lt;=$H$2*12,I8,IF(AND('Fichas técnicas Tecnologías'!$Y$3&gt;$H$2*12,'Fichas técnicas Tecnologías'!$Y$3&lt;=$F$2*12),G8,E8))</f>
        <v>96.31931780237845</v>
      </c>
      <c r="N8" s="76">
        <f>ROUND('Fichas técnicas Tecnologías'!$X$3*M8,-6)</f>
        <v>19000000</v>
      </c>
      <c r="O8" s="77">
        <f>+IF('Fichas técnicas Tecnologías'!$Y$3&lt;=$H$2*12,I8,IF(AND('Fichas técnicas Tecnologías'!$Y$3&gt;$H$2*12,'Fichas técnicas Tecnologías'!$Y$3&lt;=$F$2*12),G8,E8))</f>
        <v>96.31931780237845</v>
      </c>
      <c r="P8" s="76">
        <f>IFERROR(ROUND('Fichas técnicas Tecnologías'!$Y$3*O8,-6),"Se debe indicar cantidades en los datos de entrada")</f>
        <v>19000000</v>
      </c>
      <c r="R8" s="158"/>
      <c r="S8" s="158"/>
    </row>
    <row r="9" spans="1:19" x14ac:dyDescent="0.25">
      <c r="B9">
        <v>9</v>
      </c>
      <c r="C9" t="s">
        <v>353</v>
      </c>
      <c r="D9" s="68">
        <f>345828645*D14</f>
        <v>311245780.5</v>
      </c>
      <c r="E9" s="68">
        <f t="shared" si="3"/>
        <v>666.19958325841833</v>
      </c>
      <c r="F9" s="68">
        <f>165791431*F14</f>
        <v>157501859.44999999</v>
      </c>
      <c r="G9" s="68">
        <f t="shared" si="4"/>
        <v>1438.3731456621003</v>
      </c>
      <c r="H9" s="68">
        <v>13754548</v>
      </c>
      <c r="I9" s="68">
        <f t="shared" si="5"/>
        <v>3770.4353070175439</v>
      </c>
      <c r="J9" s="68">
        <f t="shared" si="0"/>
        <v>666.19958325841833</v>
      </c>
      <c r="K9" s="68">
        <f t="shared" si="1"/>
        <v>1438.3731456621003</v>
      </c>
      <c r="L9" s="68">
        <f t="shared" si="2"/>
        <v>3770.4353070175439</v>
      </c>
      <c r="M9" s="77">
        <f>+IF('Fichas técnicas Tecnologías'!$Y$3&lt;=$H$2*12,I9,IF(AND('Fichas técnicas Tecnologías'!$Y$3&gt;$H$2*12,'Fichas técnicas Tecnologías'!$Y$3&lt;=$F$2*12),G9,E9))</f>
        <v>666.19958325841833</v>
      </c>
      <c r="N9" s="76">
        <f>ROUND('Fichas técnicas Tecnologías'!$X$3*M9,-6)</f>
        <v>133000000</v>
      </c>
      <c r="O9" s="77">
        <f>+IF('Fichas técnicas Tecnologías'!$Y$3&lt;=$H$2*12,I9,IF(AND('Fichas técnicas Tecnologías'!$Y$3&gt;$H$2*12,'Fichas técnicas Tecnologías'!$Y$3&lt;=$F$2*12),G9,E9))</f>
        <v>666.19958325841833</v>
      </c>
      <c r="P9" s="76">
        <f>IFERROR(ROUND('Fichas técnicas Tecnologías'!$Y$3*O9,-6),"Se debe indicar cantidades en los datos de entrada")</f>
        <v>133000000</v>
      </c>
      <c r="R9" s="158"/>
      <c r="S9" s="158"/>
    </row>
    <row r="10" spans="1:19" x14ac:dyDescent="0.25">
      <c r="B10">
        <v>10</v>
      </c>
      <c r="C10" t="s">
        <v>354</v>
      </c>
      <c r="D10" s="68">
        <f>406980090*D14</f>
        <v>366282081</v>
      </c>
      <c r="E10" s="68">
        <f t="shared" si="3"/>
        <v>784.00089255901162</v>
      </c>
      <c r="F10" s="68">
        <f>124636727*F14</f>
        <v>118404890.64999999</v>
      </c>
      <c r="G10" s="68">
        <f t="shared" si="4"/>
        <v>1081.323202283105</v>
      </c>
      <c r="H10" s="68">
        <v>4154558</v>
      </c>
      <c r="I10" s="68">
        <f t="shared" si="5"/>
        <v>1138.859100877193</v>
      </c>
      <c r="J10" s="68">
        <f t="shared" si="0"/>
        <v>784.00089255901162</v>
      </c>
      <c r="K10" s="68">
        <f t="shared" si="1"/>
        <v>1081.323202283105</v>
      </c>
      <c r="L10" s="68">
        <f>+MAX(E10,G10,I10)</f>
        <v>1138.859100877193</v>
      </c>
      <c r="M10" s="77">
        <f>+IF('Fichas técnicas Tecnologías'!$Y$3&lt;=$H$2*12,I10,IF(AND('Fichas técnicas Tecnologías'!$Y$3&gt;$H$2*12,'Fichas técnicas Tecnologías'!$Y$3&lt;=$F$2*12),G10,E10))</f>
        <v>784.00089255901162</v>
      </c>
      <c r="N10" s="76">
        <f>ROUND('Fichas técnicas Tecnologías'!$X$3*M10,-6)</f>
        <v>157000000</v>
      </c>
      <c r="O10" s="77">
        <f>+IF('Fichas técnicas Tecnologías'!$Y$3&lt;=$H$2*12,I10,IF(AND('Fichas técnicas Tecnologías'!$Y$3&gt;$H$2*12,'Fichas técnicas Tecnologías'!$Y$3&lt;=$F$2*12),G10,E10))</f>
        <v>784.00089255901162</v>
      </c>
      <c r="P10" s="76">
        <f>IFERROR(ROUND('Fichas técnicas Tecnologías'!$Y$3*O10,-6),"Se debe indicar cantidades en los datos de entrada")</f>
        <v>157000000</v>
      </c>
      <c r="R10" s="158"/>
      <c r="S10" s="158"/>
    </row>
    <row r="11" spans="1:19" x14ac:dyDescent="0.25">
      <c r="B11">
        <v>11</v>
      </c>
      <c r="C11" t="s">
        <v>355</v>
      </c>
      <c r="D11" s="68">
        <v>576133411</v>
      </c>
      <c r="E11" s="68">
        <f t="shared" si="3"/>
        <v>1233.1728246817181</v>
      </c>
      <c r="F11" s="68">
        <v>199882140</v>
      </c>
      <c r="G11" s="68">
        <f t="shared" si="4"/>
        <v>1825.4076712328767</v>
      </c>
      <c r="H11" s="68">
        <v>12959852</v>
      </c>
      <c r="I11" s="68">
        <f t="shared" si="5"/>
        <v>3552.5910087719299</v>
      </c>
      <c r="J11" s="68">
        <f t="shared" si="0"/>
        <v>1233.1728246817181</v>
      </c>
      <c r="K11" s="68">
        <f t="shared" si="1"/>
        <v>1825.4076712328767</v>
      </c>
      <c r="L11" s="68">
        <f>+MAX(E11,G11,I11)</f>
        <v>3552.5910087719299</v>
      </c>
      <c r="M11" s="77">
        <f>+IF('Fichas técnicas Tecnologías'!$Y$3&lt;=$H$2*12,I11,IF(AND('Fichas técnicas Tecnologías'!$Y$3&gt;$H$2*12,'Fichas técnicas Tecnologías'!$Y$3&lt;=$F$2*12),G11,E11))</f>
        <v>1233.1728246817181</v>
      </c>
      <c r="N11" s="76">
        <f>ROUND('Fichas técnicas Tecnologías'!$X$3*M11,-6)</f>
        <v>247000000</v>
      </c>
      <c r="O11" s="77">
        <f>+IF('Fichas técnicas Tecnologías'!$Y$3&lt;=$H$2*12,I11,IF(AND('Fichas técnicas Tecnologías'!$Y$3&gt;$H$2*12,'Fichas técnicas Tecnologías'!$Y$3&lt;=$F$2*12),G11,E11))</f>
        <v>1233.1728246817181</v>
      </c>
      <c r="P11" s="76">
        <f>IFERROR(ROUND('Fichas técnicas Tecnologías'!$Y$3*O11,-6),"Se debe indicar cantidades en los datos de entrada")</f>
        <v>247000000</v>
      </c>
      <c r="R11" s="158"/>
      <c r="S11" s="158"/>
    </row>
    <row r="12" spans="1:19" x14ac:dyDescent="0.25">
      <c r="B12">
        <v>12</v>
      </c>
      <c r="C12" t="s">
        <v>356</v>
      </c>
      <c r="D12" s="68">
        <f>SUM(D4:D11)</f>
        <v>12715633489.900002</v>
      </c>
      <c r="E12" s="68"/>
      <c r="F12" s="68">
        <f>SUM(F4:F11)</f>
        <v>3331660012.6999998</v>
      </c>
      <c r="G12" s="68"/>
      <c r="H12" s="68">
        <f>SUM(H4:H11)</f>
        <v>134200348.73146302</v>
      </c>
      <c r="I12" s="68"/>
      <c r="J12" s="68"/>
      <c r="K12" s="68"/>
      <c r="L12" s="68"/>
      <c r="N12" s="76">
        <f>SUM(N4:N11)</f>
        <v>5444000000</v>
      </c>
      <c r="P12" s="76">
        <f>SUM(P4:P11)</f>
        <v>5444000000</v>
      </c>
      <c r="R12" s="158"/>
      <c r="S12" s="158"/>
    </row>
    <row r="13" spans="1:19" x14ac:dyDescent="0.25">
      <c r="B13">
        <v>13</v>
      </c>
      <c r="D13" s="68"/>
      <c r="E13" s="68"/>
      <c r="F13" s="68"/>
      <c r="G13" s="68"/>
      <c r="H13" s="68"/>
      <c r="I13" s="68"/>
      <c r="J13" s="184"/>
      <c r="K13" s="68"/>
      <c r="L13" s="183"/>
      <c r="N13" s="76"/>
      <c r="P13" s="76"/>
    </row>
    <row r="14" spans="1:19" x14ac:dyDescent="0.25">
      <c r="B14">
        <v>14</v>
      </c>
      <c r="D14" s="186">
        <v>0.9</v>
      </c>
      <c r="E14" s="68"/>
      <c r="F14" s="186">
        <v>0.95</v>
      </c>
      <c r="G14" s="68">
        <f>+F2*12</f>
        <v>109500</v>
      </c>
      <c r="H14" s="68"/>
      <c r="I14" s="68">
        <f>+H2*12</f>
        <v>3648</v>
      </c>
      <c r="J14" s="68"/>
      <c r="K14" s="68"/>
      <c r="L14" s="68"/>
      <c r="N14" s="76"/>
      <c r="P14" s="76"/>
    </row>
    <row r="15" spans="1:19" x14ac:dyDescent="0.25">
      <c r="B15">
        <v>15</v>
      </c>
      <c r="D15" s="68"/>
      <c r="E15" s="68"/>
      <c r="F15" s="68"/>
      <c r="G15" s="68"/>
      <c r="H15" s="68"/>
      <c r="I15" s="68"/>
      <c r="J15" s="68"/>
      <c r="K15" s="68"/>
      <c r="L15" s="68"/>
      <c r="N15" s="76"/>
      <c r="P15" s="76"/>
    </row>
    <row r="16" spans="1:19" ht="15" customHeight="1" x14ac:dyDescent="0.25">
      <c r="B16">
        <v>16</v>
      </c>
      <c r="C16" s="280" t="str">
        <f>+'Fichas técnicas Tecnologías'!A4</f>
        <v>Compostaje en pilas con aireación forzada</v>
      </c>
      <c r="D16" s="280"/>
      <c r="E16" s="280"/>
      <c r="F16" s="280"/>
      <c r="G16" s="280"/>
      <c r="H16" s="280"/>
      <c r="I16" s="280"/>
      <c r="J16" s="280"/>
      <c r="K16" s="280"/>
      <c r="L16" s="74"/>
      <c r="M16" s="287" t="s">
        <v>336</v>
      </c>
      <c r="N16" s="287"/>
      <c r="O16" s="287" t="s">
        <v>337</v>
      </c>
      <c r="P16" s="287"/>
    </row>
    <row r="17" spans="1:19" x14ac:dyDescent="0.25">
      <c r="B17">
        <v>17</v>
      </c>
      <c r="C17" s="70" t="s">
        <v>338</v>
      </c>
      <c r="D17" s="290">
        <v>38933</v>
      </c>
      <c r="E17" s="290"/>
      <c r="F17" s="290">
        <v>9125</v>
      </c>
      <c r="G17" s="290"/>
      <c r="H17" s="291">
        <v>304</v>
      </c>
      <c r="I17" s="291"/>
      <c r="J17" s="292" t="s">
        <v>339</v>
      </c>
      <c r="K17" s="292"/>
      <c r="L17" s="69"/>
      <c r="M17" s="287"/>
      <c r="N17" s="287"/>
      <c r="O17" s="287"/>
      <c r="P17" s="287"/>
    </row>
    <row r="18" spans="1:19" x14ac:dyDescent="0.25">
      <c r="B18">
        <v>18</v>
      </c>
      <c r="C18" s="70" t="s">
        <v>340</v>
      </c>
      <c r="D18" s="71" t="s">
        <v>341</v>
      </c>
      <c r="E18" s="71" t="s">
        <v>342</v>
      </c>
      <c r="F18" s="71" t="s">
        <v>341</v>
      </c>
      <c r="G18" s="71" t="s">
        <v>342</v>
      </c>
      <c r="H18" s="71" t="s">
        <v>341</v>
      </c>
      <c r="I18" s="71" t="s">
        <v>342</v>
      </c>
      <c r="J18" s="69" t="s">
        <v>343</v>
      </c>
      <c r="K18" s="69" t="s">
        <v>344</v>
      </c>
      <c r="L18" s="69" t="s">
        <v>345</v>
      </c>
      <c r="M18" s="70" t="s">
        <v>346</v>
      </c>
      <c r="N18" s="69" t="s">
        <v>347</v>
      </c>
      <c r="O18" s="70" t="s">
        <v>346</v>
      </c>
      <c r="P18" s="69" t="s">
        <v>347</v>
      </c>
    </row>
    <row r="19" spans="1:19" x14ac:dyDescent="0.25">
      <c r="A19" t="str">
        <f>+$C$16</f>
        <v>Compostaje en pilas con aireación forzada</v>
      </c>
      <c r="B19">
        <v>19</v>
      </c>
      <c r="C19" t="s">
        <v>348</v>
      </c>
      <c r="D19" s="68">
        <f>757667690*D29</f>
        <v>681900921</v>
      </c>
      <c r="E19" s="68">
        <f>+D19/($D$17*12)</f>
        <v>1459.5607004340791</v>
      </c>
      <c r="F19" s="68">
        <f>177578365*F29</f>
        <v>168699446.75</v>
      </c>
      <c r="G19" s="68">
        <f>+F19/($F$17*12)</f>
        <v>1540.6342168949773</v>
      </c>
      <c r="H19" s="68">
        <v>5919279</v>
      </c>
      <c r="I19" s="68">
        <f>IFERROR(H19/($H$17*12),0)</f>
        <v>1622.609375</v>
      </c>
      <c r="J19" s="68">
        <f t="shared" ref="J19:J26" si="6">+E19</f>
        <v>1459.5607004340791</v>
      </c>
      <c r="K19" s="68">
        <f t="shared" ref="K19:K26" si="7">+G19</f>
        <v>1540.6342168949773</v>
      </c>
      <c r="L19" s="68">
        <f>+MAX(E19,G19,I19)</f>
        <v>1622.609375</v>
      </c>
      <c r="M19" s="77">
        <f>+IF('Fichas técnicas Tecnologías'!$Y$3&lt;=$H$2*12,I19,IF(AND('Fichas técnicas Tecnologías'!$Y$3&gt;$H$2*12,'Fichas técnicas Tecnologías'!$Y$3&lt;=$F$2*12),G19,E19))</f>
        <v>1459.5607004340791</v>
      </c>
      <c r="N19" s="76">
        <f>ROUND('Fichas técnicas Tecnologías'!$X$4*M19,-6)</f>
        <v>292000000</v>
      </c>
      <c r="O19" s="77">
        <f>+IF('Fichas técnicas Tecnologías'!$Y$3&lt;=$H$2*12,I19,IF(AND('Fichas técnicas Tecnologías'!$Y$3&gt;$H$2*12,'Fichas técnicas Tecnologías'!$Y$3&lt;=$F$2*12),G19,E19))</f>
        <v>1459.5607004340791</v>
      </c>
      <c r="P19" s="76">
        <f>IFERROR(ROUND('Fichas técnicas Tecnologías'!$Y$4*O19,-6),"Se debe indicar cantidades en los datos de entrada")</f>
        <v>292000000</v>
      </c>
    </row>
    <row r="20" spans="1:19" x14ac:dyDescent="0.25">
      <c r="B20">
        <v>20</v>
      </c>
      <c r="C20" t="s">
        <v>349</v>
      </c>
      <c r="D20" s="68">
        <f>2926349637*D29</f>
        <v>2633714673.3000002</v>
      </c>
      <c r="E20" s="68">
        <f t="shared" ref="E20:E25" si="8">+D20/($D$17*12)</f>
        <v>5637.2800137415561</v>
      </c>
      <c r="F20" s="68">
        <f>685863196*F29</f>
        <v>651570036.19999993</v>
      </c>
      <c r="G20" s="68">
        <f t="shared" ref="G20:G25" si="9">+F20/($F$17*12)</f>
        <v>5950.4112894977161</v>
      </c>
      <c r="H20" s="68">
        <v>22862107</v>
      </c>
      <c r="I20" s="68">
        <f t="shared" ref="I20:I25" si="10">IFERROR(H20/($H$17*12),0)</f>
        <v>6267.0249451754389</v>
      </c>
      <c r="J20" s="68">
        <f t="shared" si="6"/>
        <v>5637.2800137415561</v>
      </c>
      <c r="K20" s="68">
        <f t="shared" si="7"/>
        <v>5950.4112894977161</v>
      </c>
      <c r="L20" s="68">
        <f t="shared" ref="L20:L26" si="11">+MAX(E20,G20,I20)</f>
        <v>6267.0249451754389</v>
      </c>
      <c r="M20" s="77">
        <f>+IF('Fichas técnicas Tecnologías'!$Y$3&lt;=$H$2*12,I20,IF(AND('Fichas técnicas Tecnologías'!$Y$3&gt;$H$2*12,'Fichas técnicas Tecnologías'!$Y$3&lt;=$F$2*12),G20,E20))</f>
        <v>5637.2800137415561</v>
      </c>
      <c r="N20" s="76">
        <f>ROUND('Fichas técnicas Tecnologías'!$X$4*M20,-6)</f>
        <v>1127000000</v>
      </c>
      <c r="O20" s="77">
        <f>+IF('Fichas técnicas Tecnologías'!$Y$3&lt;=$H$2*12,I20,IF(AND('Fichas técnicas Tecnologías'!$Y$3&gt;$H$2*12,'Fichas técnicas Tecnologías'!$Y$3&lt;=$F$2*12),G20,E20))</f>
        <v>5637.2800137415561</v>
      </c>
      <c r="P20" s="76">
        <f>IFERROR(ROUND('Fichas técnicas Tecnologías'!$Y$4*O20,-6),"Se debe indicar cantidades en los datos de entrada")</f>
        <v>1127000000</v>
      </c>
    </row>
    <row r="21" spans="1:19" x14ac:dyDescent="0.25">
      <c r="B21">
        <v>21</v>
      </c>
      <c r="C21" t="s">
        <v>350</v>
      </c>
      <c r="D21" s="68">
        <f>91448426*D29</f>
        <v>82303583.400000006</v>
      </c>
      <c r="E21" s="68">
        <f t="shared" si="8"/>
        <v>176.16500012842576</v>
      </c>
      <c r="F21" s="68">
        <v>21433225</v>
      </c>
      <c r="G21" s="68">
        <f t="shared" si="9"/>
        <v>195.73721461187213</v>
      </c>
      <c r="H21" s="68">
        <v>714441</v>
      </c>
      <c r="I21" s="68">
        <f t="shared" si="10"/>
        <v>195.84457236842104</v>
      </c>
      <c r="J21" s="68">
        <f t="shared" si="6"/>
        <v>176.16500012842576</v>
      </c>
      <c r="K21" s="68">
        <f t="shared" si="7"/>
        <v>195.73721461187213</v>
      </c>
      <c r="L21" s="68">
        <f t="shared" si="11"/>
        <v>195.84457236842104</v>
      </c>
      <c r="M21" s="77">
        <f>+IF('Fichas técnicas Tecnologías'!$Y$3&lt;=$H$2*12,I21,IF(AND('Fichas técnicas Tecnologías'!$Y$3&gt;$H$2*12,'Fichas técnicas Tecnologías'!$Y$3&lt;=$F$2*12),G21,E21))</f>
        <v>176.16500012842576</v>
      </c>
      <c r="N21" s="76">
        <f>ROUND('Fichas técnicas Tecnologías'!$X$4*M21,-6)</f>
        <v>35000000</v>
      </c>
      <c r="O21" s="77">
        <f>+IF('Fichas técnicas Tecnologías'!$Y$3&lt;=$H$2*12,I21,IF(AND('Fichas técnicas Tecnologías'!$Y$3&gt;$H$2*12,'Fichas técnicas Tecnologías'!$Y$3&lt;=$F$2*12),G21,E21))</f>
        <v>176.16500012842576</v>
      </c>
      <c r="P21" s="76">
        <f>IFERROR(ROUND('Fichas técnicas Tecnologías'!$Y$4*O21,-6),"Se debe indicar cantidades en los datos de entrada")</f>
        <v>35000000</v>
      </c>
    </row>
    <row r="22" spans="1:19" x14ac:dyDescent="0.25">
      <c r="B22">
        <v>22</v>
      </c>
      <c r="C22" t="s">
        <v>351</v>
      </c>
      <c r="D22" s="68">
        <f>9798045660*D29</f>
        <v>8818241094</v>
      </c>
      <c r="E22" s="68">
        <f t="shared" si="8"/>
        <v>18874.821475355096</v>
      </c>
      <c r="F22" s="68">
        <v>2296416952</v>
      </c>
      <c r="G22" s="68">
        <f t="shared" si="9"/>
        <v>20971.844310502282</v>
      </c>
      <c r="H22" s="68">
        <v>76505288.044712335</v>
      </c>
      <c r="I22" s="68">
        <f t="shared" si="10"/>
        <v>20971.844310502285</v>
      </c>
      <c r="J22" s="68">
        <f t="shared" si="6"/>
        <v>18874.821475355096</v>
      </c>
      <c r="K22" s="68">
        <f t="shared" si="7"/>
        <v>20971.844310502282</v>
      </c>
      <c r="L22" s="68">
        <f t="shared" si="11"/>
        <v>20971.844310502285</v>
      </c>
      <c r="M22" s="77">
        <f>+IF('Fichas técnicas Tecnologías'!$Y$3&lt;=$H$2*12,I22,IF(AND('Fichas técnicas Tecnologías'!$Y$3&gt;$H$2*12,'Fichas técnicas Tecnologías'!$Y$3&lt;=$F$2*12),G22,E22))</f>
        <v>18874.821475355096</v>
      </c>
      <c r="N22" s="76">
        <f>ROUND('Fichas técnicas Tecnologías'!$X$4*M22,-6)</f>
        <v>3775000000</v>
      </c>
      <c r="O22" s="77">
        <f>+IF('Fichas técnicas Tecnologías'!$Y$3&lt;=$H$2*12,I22,IF(AND('Fichas técnicas Tecnologías'!$Y$3&gt;$H$2*12,'Fichas técnicas Tecnologías'!$Y$3&lt;=$F$2*12),G22,E22))</f>
        <v>18874.821475355096</v>
      </c>
      <c r="P22" s="76">
        <f>IFERROR(ROUND('Fichas técnicas Tecnologías'!$Y$4*O22,-6),"Se debe indicar cantidades en los datos de entrada")</f>
        <v>3775000000</v>
      </c>
    </row>
    <row r="23" spans="1:19" x14ac:dyDescent="0.25">
      <c r="B23">
        <v>23</v>
      </c>
      <c r="C23" t="s">
        <v>352</v>
      </c>
      <c r="D23" s="68">
        <v>45000000</v>
      </c>
      <c r="E23" s="68">
        <f t="shared" si="8"/>
        <v>96.31931780237845</v>
      </c>
      <c r="F23" s="68">
        <v>33554951</v>
      </c>
      <c r="G23" s="68">
        <f t="shared" si="9"/>
        <v>306.43790867579906</v>
      </c>
      <c r="H23" s="68">
        <v>8388738</v>
      </c>
      <c r="I23" s="68">
        <f t="shared" si="10"/>
        <v>2299.5444078947367</v>
      </c>
      <c r="J23" s="68">
        <f t="shared" si="6"/>
        <v>96.31931780237845</v>
      </c>
      <c r="K23" s="68">
        <f t="shared" si="7"/>
        <v>306.43790867579906</v>
      </c>
      <c r="L23" s="68">
        <f t="shared" si="11"/>
        <v>2299.5444078947367</v>
      </c>
      <c r="M23" s="77">
        <f>+IF('Fichas técnicas Tecnologías'!$Y$3&lt;=$H$2*12,I23,IF(AND('Fichas técnicas Tecnologías'!$Y$3&gt;$H$2*12,'Fichas técnicas Tecnologías'!$Y$3&lt;=$F$2*12),G23,E23))</f>
        <v>96.31931780237845</v>
      </c>
      <c r="N23" s="76">
        <f>ROUND('Fichas técnicas Tecnologías'!$X$4*M23,-6)</f>
        <v>19000000</v>
      </c>
      <c r="O23" s="77">
        <f>+IF('Fichas técnicas Tecnologías'!$Y$3&lt;=$H$2*12,I23,IF(AND('Fichas técnicas Tecnologías'!$Y$3&gt;$H$2*12,'Fichas técnicas Tecnologías'!$Y$3&lt;=$F$2*12),G23,E23))</f>
        <v>96.31931780237845</v>
      </c>
      <c r="P23" s="76">
        <f>IFERROR(ROUND('Fichas técnicas Tecnologías'!$Y$4*O23,-6),"Se debe indicar cantidades en los datos de entrada")</f>
        <v>19000000</v>
      </c>
    </row>
    <row r="24" spans="1:19" x14ac:dyDescent="0.25">
      <c r="B24">
        <v>24</v>
      </c>
      <c r="C24" t="s">
        <v>353</v>
      </c>
      <c r="D24" s="68">
        <f>370036650*D29</f>
        <v>333032985</v>
      </c>
      <c r="E24" s="68">
        <f t="shared" si="8"/>
        <v>712.8335537975496</v>
      </c>
      <c r="F24" s="68">
        <v>177396832</v>
      </c>
      <c r="G24" s="68">
        <f t="shared" si="9"/>
        <v>1620.0623926940639</v>
      </c>
      <c r="H24" s="68">
        <v>14717367</v>
      </c>
      <c r="I24" s="68">
        <f t="shared" si="10"/>
        <v>4034.3659539473683</v>
      </c>
      <c r="J24" s="68">
        <f t="shared" si="6"/>
        <v>712.8335537975496</v>
      </c>
      <c r="K24" s="68">
        <f t="shared" si="7"/>
        <v>1620.0623926940639</v>
      </c>
      <c r="L24" s="68">
        <f t="shared" si="11"/>
        <v>4034.3659539473683</v>
      </c>
      <c r="M24" s="77">
        <f>+IF('Fichas técnicas Tecnologías'!$Y$3&lt;=$H$2*12,I24,IF(AND('Fichas técnicas Tecnologías'!$Y$3&gt;$H$2*12,'Fichas técnicas Tecnologías'!$Y$3&lt;=$F$2*12),G24,E24))</f>
        <v>712.8335537975496</v>
      </c>
      <c r="N24" s="76">
        <f>ROUND('Fichas técnicas Tecnologías'!$X$4*M24,-6)</f>
        <v>143000000</v>
      </c>
      <c r="O24" s="77">
        <f>+IF('Fichas técnicas Tecnologías'!$Y$3&lt;=$H$2*12,I24,IF(AND('Fichas técnicas Tecnologías'!$Y$3&gt;$H$2*12,'Fichas técnicas Tecnologías'!$Y$3&lt;=$F$2*12),G24,E24))</f>
        <v>712.8335537975496</v>
      </c>
      <c r="P24" s="76">
        <f>IFERROR(ROUND('Fichas técnicas Tecnologías'!$Y$4*O24,-6),"Se debe indicar cantidades en los datos de entrada")</f>
        <v>143000000</v>
      </c>
    </row>
    <row r="25" spans="1:19" x14ac:dyDescent="0.25">
      <c r="B25">
        <v>25</v>
      </c>
      <c r="C25" t="s">
        <v>354</v>
      </c>
      <c r="D25" s="68">
        <f>608838780*D29</f>
        <v>547954902</v>
      </c>
      <c r="E25" s="68">
        <f t="shared" si="8"/>
        <v>1172.8587188246474</v>
      </c>
      <c r="F25" s="68">
        <v>142696589</v>
      </c>
      <c r="G25" s="68">
        <f t="shared" si="9"/>
        <v>1303.165196347032</v>
      </c>
      <c r="H25" s="68">
        <v>4756553</v>
      </c>
      <c r="I25" s="68">
        <f t="shared" si="10"/>
        <v>1303.8796600877192</v>
      </c>
      <c r="J25" s="68">
        <f t="shared" si="6"/>
        <v>1172.8587188246474</v>
      </c>
      <c r="K25" s="68">
        <f t="shared" si="7"/>
        <v>1303.165196347032</v>
      </c>
      <c r="L25" s="68">
        <f t="shared" si="11"/>
        <v>1303.8796600877192</v>
      </c>
      <c r="M25" s="77">
        <f>+IF('Fichas técnicas Tecnologías'!$Y$3&lt;=$H$2*12,I25,IF(AND('Fichas técnicas Tecnologías'!$Y$3&gt;$H$2*12,'Fichas técnicas Tecnologías'!$Y$3&lt;=$F$2*12),G25,E25))</f>
        <v>1172.8587188246474</v>
      </c>
      <c r="N25" s="76">
        <f>ROUND('Fichas técnicas Tecnologías'!$X$4*M25,-6)</f>
        <v>235000000</v>
      </c>
      <c r="O25" s="77">
        <f>+IF('Fichas técnicas Tecnologías'!$Y$3&lt;=$H$2*12,I25,IF(AND('Fichas técnicas Tecnologías'!$Y$3&gt;$H$2*12,'Fichas técnicas Tecnologías'!$Y$3&lt;=$F$2*12),G25,E25))</f>
        <v>1172.8587188246474</v>
      </c>
      <c r="P25" s="76">
        <f>IFERROR(ROUND('Fichas técnicas Tecnologías'!$Y$4*O25,-6),"Se debe indicar cantidades en los datos de entrada")</f>
        <v>235000000</v>
      </c>
    </row>
    <row r="26" spans="1:19" x14ac:dyDescent="0.25">
      <c r="B26">
        <v>26</v>
      </c>
      <c r="C26" t="s">
        <v>355</v>
      </c>
      <c r="D26" s="68">
        <v>576133411</v>
      </c>
      <c r="E26" s="68">
        <f t="shared" ref="E26" si="12">+D26/($D$2*12)</f>
        <v>1233.1728246817181</v>
      </c>
      <c r="F26" s="68">
        <v>199882140</v>
      </c>
      <c r="G26" s="68">
        <f t="shared" ref="G26" si="13">+F26/($F$2*12)</f>
        <v>1825.4076712328767</v>
      </c>
      <c r="H26" s="68">
        <v>12959852</v>
      </c>
      <c r="I26" s="68">
        <f t="shared" ref="I26" si="14">IFERROR(H26/($H$2*12),0)</f>
        <v>3552.5910087719299</v>
      </c>
      <c r="J26" s="68">
        <f t="shared" si="6"/>
        <v>1233.1728246817181</v>
      </c>
      <c r="K26" s="68">
        <f t="shared" si="7"/>
        <v>1825.4076712328767</v>
      </c>
      <c r="L26" s="68">
        <f t="shared" si="11"/>
        <v>3552.5910087719299</v>
      </c>
      <c r="M26" s="77">
        <f>+IF('Fichas técnicas Tecnologías'!$Y$3&lt;=$H$2*12,I26,IF(AND('Fichas técnicas Tecnologías'!$Y$3&gt;$H$2*12,'Fichas técnicas Tecnologías'!$Y$3&lt;=$F$2*12),G26,E26))</f>
        <v>1233.1728246817181</v>
      </c>
      <c r="N26" s="76">
        <f>ROUND('Fichas técnicas Tecnologías'!$X$4*M26,-6)</f>
        <v>247000000</v>
      </c>
      <c r="O26" s="77">
        <f>+IF('Fichas técnicas Tecnologías'!$Y$3&lt;=$H$2*12,I26,IF(AND('Fichas técnicas Tecnologías'!$Y$3&gt;$H$2*12,'Fichas técnicas Tecnologías'!$Y$3&lt;=$F$2*12),G26,E26))</f>
        <v>1233.1728246817181</v>
      </c>
      <c r="P26" s="76">
        <f>IFERROR(ROUND('Fichas técnicas Tecnologías'!$Y$4*O26,-6),"Se debe indicar cantidades en los datos de entrada")</f>
        <v>247000000</v>
      </c>
      <c r="R26" s="158"/>
      <c r="S26" s="158"/>
    </row>
    <row r="27" spans="1:19" x14ac:dyDescent="0.25">
      <c r="B27">
        <v>27</v>
      </c>
      <c r="C27" t="s">
        <v>356</v>
      </c>
      <c r="D27" s="68">
        <f>SUM(D19:D26)</f>
        <v>13718281569.700001</v>
      </c>
      <c r="E27" s="68"/>
      <c r="F27" s="68"/>
      <c r="G27" s="68"/>
      <c r="H27" s="68"/>
      <c r="I27" s="68"/>
      <c r="J27" s="68"/>
      <c r="K27" s="68"/>
      <c r="L27" s="68"/>
      <c r="N27" s="76">
        <f>SUM(N19:N26)</f>
        <v>5873000000</v>
      </c>
      <c r="P27" s="76">
        <f>SUM(P19:P26)</f>
        <v>5873000000</v>
      </c>
      <c r="R27" s="158"/>
      <c r="S27" s="158"/>
    </row>
    <row r="28" spans="1:19" x14ac:dyDescent="0.25">
      <c r="B28">
        <v>28</v>
      </c>
      <c r="D28" s="68"/>
      <c r="E28" s="68"/>
      <c r="F28" s="68"/>
      <c r="G28" s="68"/>
      <c r="H28" s="68"/>
      <c r="I28" s="68"/>
      <c r="J28" s="68"/>
      <c r="K28" s="68"/>
      <c r="L28" s="68"/>
      <c r="N28" s="76"/>
      <c r="P28" s="76"/>
    </row>
    <row r="29" spans="1:19" x14ac:dyDescent="0.25">
      <c r="B29">
        <v>29</v>
      </c>
      <c r="D29" s="186">
        <v>0.9</v>
      </c>
      <c r="E29" s="68"/>
      <c r="F29" s="186">
        <v>0.95</v>
      </c>
      <c r="G29" s="68"/>
      <c r="H29" s="68"/>
      <c r="I29" s="68"/>
      <c r="J29" s="68"/>
      <c r="K29" s="68"/>
      <c r="L29" s="68"/>
      <c r="N29" s="76"/>
      <c r="P29" s="76"/>
    </row>
    <row r="30" spans="1:19" x14ac:dyDescent="0.25">
      <c r="B30">
        <v>30</v>
      </c>
      <c r="D30" s="68"/>
      <c r="E30" s="68"/>
      <c r="F30" s="68"/>
      <c r="G30" s="68"/>
      <c r="H30" s="68"/>
      <c r="I30" s="68"/>
      <c r="J30" s="68"/>
      <c r="K30" s="68"/>
      <c r="L30" s="68"/>
      <c r="N30" s="76"/>
      <c r="P30" s="76"/>
    </row>
    <row r="31" spans="1:19" ht="15" customHeight="1" x14ac:dyDescent="0.25">
      <c r="B31">
        <v>31</v>
      </c>
      <c r="C31" s="280" t="str">
        <f>+'Fichas técnicas Tecnologías'!A5</f>
        <v>Compostaje cerrado o "In vessel"</v>
      </c>
      <c r="D31" s="280"/>
      <c r="E31" s="280"/>
      <c r="F31" s="280"/>
      <c r="G31" s="280"/>
      <c r="H31" s="280"/>
      <c r="I31" s="280"/>
      <c r="J31" s="280"/>
      <c r="K31" s="280"/>
      <c r="L31" s="74"/>
      <c r="M31" s="287" t="s">
        <v>336</v>
      </c>
      <c r="N31" s="287"/>
      <c r="O31" s="287" t="s">
        <v>337</v>
      </c>
      <c r="P31" s="287"/>
    </row>
    <row r="32" spans="1:19" x14ac:dyDescent="0.25">
      <c r="B32">
        <v>32</v>
      </c>
      <c r="C32" s="70" t="s">
        <v>338</v>
      </c>
      <c r="D32" s="290">
        <v>38933</v>
      </c>
      <c r="E32" s="290"/>
      <c r="F32" s="290">
        <v>9125</v>
      </c>
      <c r="G32" s="290"/>
      <c r="H32" s="291">
        <v>304</v>
      </c>
      <c r="I32" s="291"/>
      <c r="J32" s="292" t="s">
        <v>339</v>
      </c>
      <c r="K32" s="292"/>
      <c r="L32" s="69"/>
      <c r="M32" s="287"/>
      <c r="N32" s="287"/>
      <c r="O32" s="287"/>
      <c r="P32" s="287"/>
    </row>
    <row r="33" spans="1:19" x14ac:dyDescent="0.25">
      <c r="B33">
        <v>33</v>
      </c>
      <c r="C33" s="70" t="s">
        <v>340</v>
      </c>
      <c r="D33" s="71" t="s">
        <v>341</v>
      </c>
      <c r="E33" s="71" t="s">
        <v>357</v>
      </c>
      <c r="F33" s="71" t="s">
        <v>341</v>
      </c>
      <c r="G33" s="71" t="s">
        <v>357</v>
      </c>
      <c r="H33" s="71" t="s">
        <v>341</v>
      </c>
      <c r="I33" s="71" t="s">
        <v>357</v>
      </c>
      <c r="J33" s="69" t="s">
        <v>343</v>
      </c>
      <c r="K33" s="69" t="s">
        <v>344</v>
      </c>
      <c r="L33" s="69" t="s">
        <v>345</v>
      </c>
      <c r="M33" s="70" t="s">
        <v>346</v>
      </c>
      <c r="N33" s="69" t="s">
        <v>347</v>
      </c>
      <c r="O33" s="70" t="s">
        <v>346</v>
      </c>
      <c r="P33" s="69" t="s">
        <v>347</v>
      </c>
    </row>
    <row r="34" spans="1:19" x14ac:dyDescent="0.25">
      <c r="A34" t="str">
        <f>+$C$31</f>
        <v>Compostaje cerrado o "In vessel"</v>
      </c>
      <c r="B34">
        <v>34</v>
      </c>
      <c r="C34" t="s">
        <v>348</v>
      </c>
      <c r="D34" s="68">
        <f>6104701346*D43</f>
        <v>5494231211.4000006</v>
      </c>
      <c r="E34" s="68">
        <f t="shared" ref="E34:E39" si="15">+D34/($D$32*12)</f>
        <v>11760.013380679631</v>
      </c>
      <c r="F34" s="75">
        <f>1430789378*F43</f>
        <v>1359249909.0999999</v>
      </c>
      <c r="G34" s="68">
        <f t="shared" ref="G34:G39" si="16">+F34/($F$32*12)</f>
        <v>12413.241178995433</v>
      </c>
      <c r="H34" s="68">
        <v>47692979</v>
      </c>
      <c r="I34" s="68">
        <f t="shared" ref="I34:I39" si="17">IFERROR(H34/($H$32*12),0)</f>
        <v>13073.733278508771</v>
      </c>
      <c r="J34" s="68">
        <f t="shared" ref="J34:J40" si="18">+E34</f>
        <v>11760.013380679631</v>
      </c>
      <c r="K34" s="68">
        <f t="shared" ref="K34:K40" si="19">+G34</f>
        <v>12413.241178995433</v>
      </c>
      <c r="L34" s="68">
        <f>+MAX(E34,G34,I34)</f>
        <v>13073.733278508771</v>
      </c>
      <c r="M34" s="77">
        <f>+IF('Fichas técnicas Tecnologías'!$Y$3&lt;=$H$2*12,I34,IF(AND('Fichas técnicas Tecnologías'!$Y$3&gt;$H$2*12,'Fichas técnicas Tecnologías'!$Y$3&lt;=$F$2*12),G34,E34))</f>
        <v>11760.013380679631</v>
      </c>
      <c r="N34" s="76">
        <f>ROUND('Fichas técnicas Tecnologías'!$X$5*M34,-6)</f>
        <v>3528000000</v>
      </c>
      <c r="P34" s="76"/>
    </row>
    <row r="35" spans="1:19" x14ac:dyDescent="0.25">
      <c r="B35">
        <v>35</v>
      </c>
      <c r="C35" t="s">
        <v>349</v>
      </c>
      <c r="D35" s="185">
        <f>100422337*D43</f>
        <v>90380103.299999997</v>
      </c>
      <c r="E35" s="68">
        <f t="shared" si="15"/>
        <v>193.45221983921095</v>
      </c>
      <c r="F35" s="68">
        <f>8584736*F43</f>
        <v>8155499.1999999993</v>
      </c>
      <c r="G35" s="68">
        <f t="shared" si="16"/>
        <v>74.479444748858441</v>
      </c>
      <c r="H35" s="68">
        <v>286158</v>
      </c>
      <c r="I35" s="68">
        <f t="shared" si="17"/>
        <v>78.442434210526315</v>
      </c>
      <c r="J35" s="68">
        <f t="shared" si="18"/>
        <v>193.45221983921095</v>
      </c>
      <c r="K35" s="68">
        <f t="shared" si="19"/>
        <v>74.479444748858441</v>
      </c>
      <c r="L35" s="68">
        <f t="shared" ref="L35:L40" si="20">+MAX(E35,G35,I35)</f>
        <v>193.45221983921095</v>
      </c>
      <c r="M35" s="77">
        <f>+IF('Fichas técnicas Tecnologías'!$Y$3&lt;=$H$2*12,I35,IF(AND('Fichas técnicas Tecnologías'!$Y$3&gt;$H$2*12,'Fichas técnicas Tecnologías'!$Y$3&lt;=$F$2*12),G35,E35))</f>
        <v>193.45221983921095</v>
      </c>
      <c r="N35" s="76">
        <f>ROUND('Fichas técnicas Tecnologías'!$X$5*M35,-6)</f>
        <v>58000000</v>
      </c>
      <c r="P35" s="76"/>
    </row>
    <row r="36" spans="1:19" x14ac:dyDescent="0.25">
      <c r="B36">
        <v>36</v>
      </c>
      <c r="C36" t="s">
        <v>350</v>
      </c>
      <c r="D36" s="185">
        <f>100422337*D43</f>
        <v>90380103.299999997</v>
      </c>
      <c r="E36" s="68">
        <f t="shared" si="15"/>
        <v>193.45221983921095</v>
      </c>
      <c r="F36" s="68">
        <f>23536485*F43</f>
        <v>22359660.75</v>
      </c>
      <c r="G36" s="68">
        <f t="shared" si="16"/>
        <v>204.19781506849316</v>
      </c>
      <c r="H36" s="68">
        <v>784550</v>
      </c>
      <c r="I36" s="68">
        <f t="shared" si="17"/>
        <v>215.06304824561403</v>
      </c>
      <c r="J36" s="68">
        <f t="shared" si="18"/>
        <v>193.45221983921095</v>
      </c>
      <c r="K36" s="68">
        <f t="shared" si="19"/>
        <v>204.19781506849316</v>
      </c>
      <c r="L36" s="68">
        <f t="shared" si="20"/>
        <v>215.06304824561403</v>
      </c>
      <c r="M36" s="77">
        <f>+IF('Fichas técnicas Tecnologías'!$Y$3&lt;=$H$2*12,I36,IF(AND('Fichas técnicas Tecnologías'!$Y$3&gt;$H$2*12,'Fichas técnicas Tecnologías'!$Y$3&lt;=$F$2*12),G36,E36))</f>
        <v>193.45221983921095</v>
      </c>
      <c r="N36" s="76">
        <f>ROUND('Fichas técnicas Tecnologías'!$X$5*M36,-6)</f>
        <v>58000000</v>
      </c>
      <c r="P36" s="76"/>
    </row>
    <row r="37" spans="1:19" x14ac:dyDescent="0.25">
      <c r="B37">
        <v>37</v>
      </c>
      <c r="C37" t="s">
        <v>351</v>
      </c>
      <c r="D37" s="68">
        <f>4214884792*D43</f>
        <v>3793396312.8000002</v>
      </c>
      <c r="E37" s="68">
        <f t="shared" si="15"/>
        <v>8119.4965556211955</v>
      </c>
      <c r="F37" s="68">
        <f>987863623*F43</f>
        <v>938470441.8499999</v>
      </c>
      <c r="G37" s="68">
        <f t="shared" si="16"/>
        <v>8570.5063182648391</v>
      </c>
      <c r="H37" s="68">
        <v>32928787</v>
      </c>
      <c r="I37" s="68">
        <f t="shared" si="17"/>
        <v>9026.5315241228072</v>
      </c>
      <c r="J37" s="68">
        <f t="shared" si="18"/>
        <v>8119.4965556211955</v>
      </c>
      <c r="K37" s="68">
        <f t="shared" si="19"/>
        <v>8570.5063182648391</v>
      </c>
      <c r="L37" s="68">
        <f t="shared" si="20"/>
        <v>9026.5315241228072</v>
      </c>
      <c r="M37" s="77">
        <f>+IF('Fichas técnicas Tecnologías'!$Y$3&lt;=$H$2*12,I37,IF(AND('Fichas técnicas Tecnologías'!$Y$3&gt;$H$2*12,'Fichas técnicas Tecnologías'!$Y$3&lt;=$F$2*12),G37,E37))</f>
        <v>8119.4965556211955</v>
      </c>
      <c r="N37" s="76">
        <f>ROUND('Fichas técnicas Tecnologías'!$X$5*M37,-6)</f>
        <v>2436000000</v>
      </c>
      <c r="P37" s="76"/>
    </row>
    <row r="38" spans="1:19" x14ac:dyDescent="0.25">
      <c r="B38">
        <v>38</v>
      </c>
      <c r="C38" t="s">
        <v>352</v>
      </c>
      <c r="D38" s="68">
        <v>45000000</v>
      </c>
      <c r="E38" s="68">
        <f t="shared" si="15"/>
        <v>96.31931780237845</v>
      </c>
      <c r="F38" s="68">
        <v>31359767</v>
      </c>
      <c r="G38" s="68">
        <f t="shared" si="16"/>
        <v>286.39056621004568</v>
      </c>
      <c r="H38" s="68">
        <v>15679884</v>
      </c>
      <c r="I38" s="68">
        <f>IFERROR(H38/($H$32*12),0)</f>
        <v>4298.2138157894733</v>
      </c>
      <c r="J38" s="68">
        <f t="shared" si="18"/>
        <v>96.31931780237845</v>
      </c>
      <c r="K38" s="68">
        <f t="shared" si="19"/>
        <v>286.39056621004568</v>
      </c>
      <c r="L38" s="68">
        <f t="shared" si="20"/>
        <v>4298.2138157894733</v>
      </c>
      <c r="M38" s="77">
        <f>+IF('Fichas técnicas Tecnologías'!$Y$3&lt;=$H$2*12,I38,IF(AND('Fichas técnicas Tecnologías'!$Y$3&gt;$H$2*12,'Fichas técnicas Tecnologías'!$Y$3&lt;=$F$2*12),G38,E38))</f>
        <v>96.31931780237845</v>
      </c>
      <c r="N38" s="76">
        <f>ROUND('Fichas técnicas Tecnologías'!$X$5*M38,-6)</f>
        <v>29000000</v>
      </c>
      <c r="P38" s="76"/>
    </row>
    <row r="39" spans="1:19" x14ac:dyDescent="0.25">
      <c r="B39">
        <v>39</v>
      </c>
      <c r="C39" t="s">
        <v>354</v>
      </c>
      <c r="D39" s="68">
        <f>4629052334*D43</f>
        <v>4166147100.5999999</v>
      </c>
      <c r="E39" s="68">
        <f t="shared" si="15"/>
        <v>8917.3432576477535</v>
      </c>
      <c r="F39" s="68">
        <f>1159152680*F43</f>
        <v>1101195046</v>
      </c>
      <c r="G39" s="68">
        <f t="shared" si="16"/>
        <v>10056.575762557077</v>
      </c>
      <c r="H39" s="68">
        <v>47105699</v>
      </c>
      <c r="I39" s="68">
        <f t="shared" si="17"/>
        <v>12912.74643640351</v>
      </c>
      <c r="J39" s="68">
        <f t="shared" si="18"/>
        <v>8917.3432576477535</v>
      </c>
      <c r="K39" s="68">
        <f t="shared" si="19"/>
        <v>10056.575762557077</v>
      </c>
      <c r="L39" s="68">
        <f t="shared" si="20"/>
        <v>12912.74643640351</v>
      </c>
      <c r="M39" s="77">
        <f>+IF('Fichas técnicas Tecnologías'!$Y$3&lt;=$H$2*12,I39,IF(AND('Fichas técnicas Tecnologías'!$Y$3&gt;$H$2*12,'Fichas técnicas Tecnologías'!$Y$3&lt;=$F$2*12),G39,E39))</f>
        <v>8917.3432576477535</v>
      </c>
      <c r="N39" s="76">
        <f>ROUND('Fichas técnicas Tecnologías'!$X$5*M39,-6)</f>
        <v>2675000000</v>
      </c>
      <c r="P39" s="76"/>
    </row>
    <row r="40" spans="1:19" x14ac:dyDescent="0.25">
      <c r="B40">
        <v>40</v>
      </c>
      <c r="C40" t="s">
        <v>355</v>
      </c>
      <c r="D40" s="68">
        <v>1225072508.0816059</v>
      </c>
      <c r="E40" s="68">
        <f t="shared" ref="E40" si="21">+D40/($D$2*12)</f>
        <v>2622.1810719304231</v>
      </c>
      <c r="F40" s="68">
        <v>748895482.051373</v>
      </c>
      <c r="G40" s="68">
        <f t="shared" ref="G40" si="22">+F40/($F$2*12)</f>
        <v>6839.2281465878814</v>
      </c>
      <c r="H40" s="68">
        <v>404548929.72626078</v>
      </c>
      <c r="I40" s="68">
        <f t="shared" ref="I40" si="23">IFERROR(H40/($H$2*12),0)</f>
        <v>110896.0881925057</v>
      </c>
      <c r="J40" s="68">
        <f t="shared" si="18"/>
        <v>2622.1810719304231</v>
      </c>
      <c r="K40" s="68">
        <f t="shared" si="19"/>
        <v>6839.2281465878814</v>
      </c>
      <c r="L40" s="68">
        <f t="shared" si="20"/>
        <v>110896.0881925057</v>
      </c>
      <c r="M40" s="77">
        <f>+IF('Fichas técnicas Tecnologías'!$Y$3&lt;=$H$2*12,I40,IF(AND('Fichas técnicas Tecnologías'!$Y$3&gt;$H$2*12,'Fichas técnicas Tecnologías'!$Y$3&lt;=$F$2*12),G40,E40))</f>
        <v>2622.1810719304231</v>
      </c>
      <c r="N40" s="76">
        <f>ROUND('Fichas técnicas Tecnologías'!$X$5*M40,-6)</f>
        <v>787000000</v>
      </c>
      <c r="O40" s="126"/>
      <c r="P40" s="76"/>
      <c r="R40" s="158"/>
      <c r="S40" s="158"/>
    </row>
    <row r="41" spans="1:19" x14ac:dyDescent="0.25">
      <c r="B41">
        <v>41</v>
      </c>
      <c r="C41" t="s">
        <v>356</v>
      </c>
      <c r="D41" s="68"/>
      <c r="E41" s="68"/>
      <c r="F41" s="68"/>
      <c r="G41" s="68"/>
      <c r="H41" s="68"/>
      <c r="I41" s="68"/>
      <c r="J41" s="68"/>
      <c r="K41" s="68"/>
      <c r="L41" s="68"/>
      <c r="M41" s="77">
        <f>+IF('Fichas técnicas Tecnologías'!$Y$3&lt;=$H$2*12,I41,IF(AND('Fichas técnicas Tecnologías'!$Y$3&gt;$H$2*12,'Fichas técnicas Tecnologías'!$Y$3&lt;=$F$2*12),G41,E41))</f>
        <v>0</v>
      </c>
      <c r="N41" s="76">
        <f>SUM(N34:N39)</f>
        <v>8784000000</v>
      </c>
      <c r="P41" s="76"/>
    </row>
    <row r="42" spans="1:19" x14ac:dyDescent="0.25">
      <c r="B42">
        <v>42</v>
      </c>
      <c r="D42" s="68"/>
      <c r="E42" s="68"/>
      <c r="F42" s="68"/>
      <c r="G42" s="68"/>
      <c r="H42" s="68"/>
      <c r="I42" s="68"/>
      <c r="J42" s="68"/>
      <c r="K42" s="68"/>
      <c r="L42" s="68"/>
      <c r="N42" s="76"/>
      <c r="P42" s="76"/>
    </row>
    <row r="43" spans="1:19" x14ac:dyDescent="0.25">
      <c r="B43">
        <v>43</v>
      </c>
      <c r="D43" s="186">
        <v>0.9</v>
      </c>
      <c r="E43" s="68"/>
      <c r="F43" s="186">
        <v>0.95</v>
      </c>
      <c r="G43" s="68"/>
      <c r="H43" s="68"/>
      <c r="I43" s="68"/>
      <c r="J43" s="68"/>
      <c r="K43" s="68"/>
      <c r="L43" s="68"/>
      <c r="N43" s="76"/>
      <c r="P43" s="76"/>
    </row>
    <row r="44" spans="1:19" x14ac:dyDescent="0.25">
      <c r="B44">
        <v>44</v>
      </c>
      <c r="D44" s="68"/>
      <c r="E44" s="68"/>
      <c r="F44" s="68"/>
      <c r="G44" s="68"/>
      <c r="H44" s="68"/>
      <c r="I44" s="68"/>
      <c r="J44" s="68"/>
      <c r="K44" s="68"/>
      <c r="L44" s="68"/>
      <c r="N44" s="76"/>
      <c r="P44" s="76"/>
    </row>
    <row r="45" spans="1:19" x14ac:dyDescent="0.25">
      <c r="B45">
        <v>45</v>
      </c>
      <c r="D45" s="68"/>
      <c r="E45" s="68"/>
      <c r="F45" s="68"/>
      <c r="G45" s="68"/>
      <c r="H45" s="68"/>
      <c r="I45" s="68"/>
      <c r="J45" s="68"/>
      <c r="K45" s="68"/>
      <c r="L45" s="68"/>
      <c r="N45" s="76"/>
      <c r="P45" s="76"/>
    </row>
    <row r="46" spans="1:19" ht="15" customHeight="1" x14ac:dyDescent="0.25">
      <c r="B46">
        <v>46</v>
      </c>
      <c r="C46" s="280" t="str">
        <f>+'Fichas técnicas Tecnologías'!A6</f>
        <v>Tratamiento Mecánico Biológico</v>
      </c>
      <c r="D46" s="280"/>
      <c r="E46" s="280"/>
      <c r="F46" s="280"/>
      <c r="G46" s="280"/>
      <c r="H46" s="280"/>
      <c r="I46" s="280"/>
      <c r="J46" s="280"/>
      <c r="K46" s="280"/>
      <c r="L46" s="74"/>
      <c r="M46" s="287" t="s">
        <v>336</v>
      </c>
      <c r="N46" s="287"/>
      <c r="O46" s="287" t="s">
        <v>337</v>
      </c>
      <c r="P46" s="287"/>
    </row>
    <row r="47" spans="1:19" x14ac:dyDescent="0.25">
      <c r="B47">
        <v>47</v>
      </c>
      <c r="C47" s="70" t="s">
        <v>338</v>
      </c>
      <c r="D47" s="290">
        <v>38933</v>
      </c>
      <c r="E47" s="290"/>
      <c r="F47" s="290">
        <v>9125</v>
      </c>
      <c r="G47" s="290"/>
      <c r="H47" s="291">
        <v>304</v>
      </c>
      <c r="I47" s="291"/>
      <c r="J47" s="292" t="s">
        <v>339</v>
      </c>
      <c r="K47" s="292"/>
      <c r="L47" s="69"/>
      <c r="M47" s="287"/>
      <c r="N47" s="287"/>
      <c r="O47" s="287"/>
      <c r="P47" s="287"/>
    </row>
    <row r="48" spans="1:19" x14ac:dyDescent="0.25">
      <c r="B48">
        <v>48</v>
      </c>
      <c r="C48" s="70" t="s">
        <v>340</v>
      </c>
      <c r="D48" s="71" t="s">
        <v>341</v>
      </c>
      <c r="E48" s="71" t="s">
        <v>342</v>
      </c>
      <c r="F48" s="71" t="s">
        <v>341</v>
      </c>
      <c r="G48" s="71" t="s">
        <v>342</v>
      </c>
      <c r="H48" s="71" t="s">
        <v>341</v>
      </c>
      <c r="I48" s="71" t="s">
        <v>342</v>
      </c>
      <c r="J48" s="69" t="s">
        <v>343</v>
      </c>
      <c r="K48" s="69" t="s">
        <v>344</v>
      </c>
      <c r="L48" s="69" t="s">
        <v>345</v>
      </c>
      <c r="M48" s="70" t="s">
        <v>346</v>
      </c>
      <c r="N48" s="69" t="s">
        <v>347</v>
      </c>
      <c r="O48" s="70" t="s">
        <v>346</v>
      </c>
      <c r="P48" s="69" t="s">
        <v>347</v>
      </c>
    </row>
    <row r="49" spans="1:19" ht="30" x14ac:dyDescent="0.25">
      <c r="A49" t="str">
        <f>+$C$46</f>
        <v>Tratamiento Mecánico Biológico</v>
      </c>
      <c r="B49">
        <v>49</v>
      </c>
      <c r="C49" s="1" t="s">
        <v>358</v>
      </c>
      <c r="D49" s="288" t="s">
        <v>359</v>
      </c>
      <c r="E49" s="288"/>
      <c r="F49" s="288"/>
      <c r="G49" s="288"/>
      <c r="H49" s="288"/>
      <c r="I49" s="288"/>
      <c r="J49" s="288"/>
      <c r="K49" s="288"/>
      <c r="L49" s="289"/>
      <c r="M49" s="126" t="e">
        <f>'CDF y CRT-TMB'!$H$4</f>
        <v>#VALUE!</v>
      </c>
      <c r="N49" s="76" t="e">
        <f>ROUND('Fichas técnicas Tecnologías'!$X$6*M49*((1-'Fichas técnicas Tecnologías'!S6)+(1-'Fichas técnicas Tecnologías'!S7)-('Fichas técnicas Tecnologías'!S8)),-6)</f>
        <v>#VALUE!</v>
      </c>
      <c r="O49" s="126"/>
      <c r="P49" s="76"/>
    </row>
    <row r="50" spans="1:19" ht="30" x14ac:dyDescent="0.25">
      <c r="B50">
        <v>50</v>
      </c>
      <c r="C50" s="1" t="s">
        <v>360</v>
      </c>
      <c r="D50" s="293" t="s">
        <v>361</v>
      </c>
      <c r="E50" s="293"/>
      <c r="F50" s="293"/>
      <c r="G50" s="293"/>
      <c r="H50" s="293"/>
      <c r="I50" s="293"/>
      <c r="J50" s="293"/>
      <c r="K50" s="293"/>
      <c r="L50" s="294"/>
      <c r="M50" s="126">
        <f>+$M$22</f>
        <v>18874.821475355096</v>
      </c>
      <c r="N50" s="76">
        <f>ROUND('Fichas técnicas Tecnologías'!$X$6*M50,-6)</f>
        <v>9437000000</v>
      </c>
      <c r="O50" s="126"/>
      <c r="P50" s="76"/>
    </row>
    <row r="51" spans="1:19" x14ac:dyDescent="0.25">
      <c r="B51">
        <v>51</v>
      </c>
      <c r="C51" t="s">
        <v>349</v>
      </c>
      <c r="D51" s="68">
        <f>1220940269*D59</f>
        <v>1098846242.1000001</v>
      </c>
      <c r="E51" s="68">
        <f t="shared" ref="E51:E55" si="24">+D51/($D$47*12)</f>
        <v>2352.0026757506489</v>
      </c>
      <c r="F51" s="68">
        <f>286157876*F59</f>
        <v>271849982.19999999</v>
      </c>
      <c r="G51" s="68">
        <f t="shared" ref="G51:G55" si="25">+F51/($F$47*12)</f>
        <v>2482.6482392694061</v>
      </c>
      <c r="H51" s="68">
        <v>9538596</v>
      </c>
      <c r="I51" s="68">
        <f t="shared" ref="I51:I55" si="26">IFERROR(H51/($H$47*12),0)</f>
        <v>2614.7467105263158</v>
      </c>
      <c r="J51" s="68">
        <f>+E51</f>
        <v>2352.0026757506489</v>
      </c>
      <c r="K51" s="68">
        <f>+G51</f>
        <v>2482.6482392694061</v>
      </c>
      <c r="L51" s="68">
        <f t="shared" ref="L51" si="27">+MAX(E51,G51,I51)</f>
        <v>2614.7467105263158</v>
      </c>
      <c r="M51" s="77">
        <f>+IF('Fichas técnicas Tecnologías'!$Y$3&lt;=$H$2*12,I51,IF(AND('Fichas técnicas Tecnologías'!$Y$3&gt;$H$2*12,'Fichas técnicas Tecnologías'!$Y$3&lt;=$F$2*12),G51,E51))</f>
        <v>2352.0026757506489</v>
      </c>
      <c r="N51" s="76">
        <f>ROUND('Fichas técnicas Tecnologías'!$X$6*M51,-6)</f>
        <v>1176000000</v>
      </c>
      <c r="P51" s="76"/>
    </row>
    <row r="52" spans="1:19" x14ac:dyDescent="0.25">
      <c r="B52">
        <v>52</v>
      </c>
      <c r="C52" t="s">
        <v>362</v>
      </c>
      <c r="D52" s="68">
        <f>3371907834*D59</f>
        <v>3034717050.5999999</v>
      </c>
      <c r="E52" s="68">
        <f t="shared" si="24"/>
        <v>6495.5972452675105</v>
      </c>
      <c r="F52" s="68">
        <f>790290898*F59</f>
        <v>750776353.10000002</v>
      </c>
      <c r="G52" s="68">
        <f t="shared" si="25"/>
        <v>6856.4050511415526</v>
      </c>
      <c r="H52" s="68">
        <v>8781010</v>
      </c>
      <c r="I52" s="68">
        <f t="shared" si="26"/>
        <v>2407.0751096491226</v>
      </c>
      <c r="J52" s="68">
        <f t="shared" ref="J52:J56" si="28">+E52</f>
        <v>6495.5972452675105</v>
      </c>
      <c r="K52" s="68">
        <f t="shared" ref="K52:K56" si="29">+G52</f>
        <v>6856.4050511415526</v>
      </c>
      <c r="L52" s="68">
        <f t="shared" ref="L52:L56" si="30">+MAX(E52,G52,I52)</f>
        <v>6856.4050511415526</v>
      </c>
      <c r="M52" s="77">
        <f>+IF('Fichas técnicas Tecnologías'!$Y$3&lt;=$H$2*12,I52,IF(AND('Fichas técnicas Tecnologías'!$Y$3&gt;$H$2*12,'Fichas técnicas Tecnologías'!$Y$3&lt;=$F$2*12),G52,E52))</f>
        <v>6495.5972452675105</v>
      </c>
      <c r="N52" s="76">
        <f>ROUND('Fichas técnicas Tecnologías'!$X$6*M52,-6)</f>
        <v>3248000000</v>
      </c>
      <c r="P52" s="76"/>
    </row>
    <row r="53" spans="1:19" x14ac:dyDescent="0.25">
      <c r="B53">
        <v>53</v>
      </c>
      <c r="C53" t="s">
        <v>363</v>
      </c>
      <c r="D53" s="68">
        <v>45000000</v>
      </c>
      <c r="E53" s="68">
        <f t="shared" si="24"/>
        <v>96.31931780237845</v>
      </c>
      <c r="F53" s="68">
        <v>31359767</v>
      </c>
      <c r="G53" s="68">
        <f t="shared" si="25"/>
        <v>286.39056621004568</v>
      </c>
      <c r="H53" s="68">
        <v>15679884</v>
      </c>
      <c r="I53" s="68">
        <f t="shared" si="26"/>
        <v>4298.2138157894733</v>
      </c>
      <c r="J53" s="68">
        <f t="shared" si="28"/>
        <v>96.31931780237845</v>
      </c>
      <c r="K53" s="68">
        <f t="shared" si="29"/>
        <v>286.39056621004568</v>
      </c>
      <c r="L53" s="68">
        <f t="shared" si="30"/>
        <v>4298.2138157894733</v>
      </c>
      <c r="M53" s="77">
        <f>+IF('Fichas técnicas Tecnologías'!$Y$3&lt;=$H$2*12,I53,IF(AND('Fichas técnicas Tecnologías'!$Y$3&gt;$H$2*12,'Fichas técnicas Tecnologías'!$Y$3&lt;=$F$2*12),G53,E53))</f>
        <v>96.31931780237845</v>
      </c>
      <c r="N53" s="76">
        <f>ROUND('Fichas técnicas Tecnologías'!$X$6*M53,-6)</f>
        <v>48000000</v>
      </c>
      <c r="P53" s="76"/>
    </row>
    <row r="54" spans="1:19" x14ac:dyDescent="0.25">
      <c r="B54">
        <v>54</v>
      </c>
      <c r="C54" t="s">
        <v>353</v>
      </c>
      <c r="D54" s="68">
        <f>333111219*D59</f>
        <v>299800097.10000002</v>
      </c>
      <c r="E54" s="68">
        <f t="shared" si="24"/>
        <v>641.70090732797371</v>
      </c>
      <c r="F54" s="68">
        <f>200478583*F59</f>
        <v>190454653.84999999</v>
      </c>
      <c r="G54" s="68">
        <f t="shared" si="25"/>
        <v>1739.3119073059361</v>
      </c>
      <c r="H54" s="68">
        <v>7224196</v>
      </c>
      <c r="I54" s="68">
        <f t="shared" si="26"/>
        <v>1980.3168859649122</v>
      </c>
      <c r="J54" s="68">
        <f t="shared" si="28"/>
        <v>641.70090732797371</v>
      </c>
      <c r="K54" s="68">
        <f t="shared" si="29"/>
        <v>1739.3119073059361</v>
      </c>
      <c r="L54" s="68">
        <f t="shared" si="30"/>
        <v>1980.3168859649122</v>
      </c>
      <c r="M54" s="77">
        <f>+IF('Fichas técnicas Tecnologías'!$Y$3&lt;=$H$2*12,I54,IF(AND('Fichas técnicas Tecnologías'!$Y$3&gt;$H$2*12,'Fichas técnicas Tecnologías'!$Y$3&lt;=$F$2*12),G54,E54))</f>
        <v>641.70090732797371</v>
      </c>
      <c r="N54" s="76">
        <f>ROUND('Fichas técnicas Tecnologías'!$X$6*M54,-6)</f>
        <v>321000000</v>
      </c>
      <c r="P54" s="76"/>
    </row>
    <row r="55" spans="1:19" x14ac:dyDescent="0.25">
      <c r="B55">
        <v>55</v>
      </c>
      <c r="C55" t="s">
        <v>354</v>
      </c>
      <c r="D55" s="68">
        <f>107686132*D59</f>
        <v>96917518.799999997</v>
      </c>
      <c r="E55" s="68">
        <f t="shared" si="24"/>
        <v>207.44509542033751</v>
      </c>
      <c r="F55" s="68">
        <f>25238937*F59</f>
        <v>23976990.149999999</v>
      </c>
      <c r="G55" s="68">
        <f t="shared" si="25"/>
        <v>218.96794657534244</v>
      </c>
      <c r="H55" s="68">
        <v>841298</v>
      </c>
      <c r="I55" s="68">
        <f t="shared" si="26"/>
        <v>230.61896929824562</v>
      </c>
      <c r="J55" s="68">
        <f t="shared" si="28"/>
        <v>207.44509542033751</v>
      </c>
      <c r="K55" s="68">
        <f t="shared" si="29"/>
        <v>218.96794657534244</v>
      </c>
      <c r="L55" s="68">
        <f t="shared" si="30"/>
        <v>230.61896929824562</v>
      </c>
      <c r="M55" s="77">
        <f>+IF('Fichas técnicas Tecnologías'!$Y$3&lt;=$H$2*12,I55,IF(AND('Fichas técnicas Tecnologías'!$Y$3&gt;$H$2*12,'Fichas técnicas Tecnologías'!$Y$3&lt;=$F$2*12),G55,E55))</f>
        <v>207.44509542033751</v>
      </c>
      <c r="N55" s="76">
        <f>ROUND('Fichas técnicas Tecnologías'!$X$6*M55,-6)</f>
        <v>104000000</v>
      </c>
      <c r="P55" s="76"/>
    </row>
    <row r="56" spans="1:19" x14ac:dyDescent="0.25">
      <c r="B56">
        <v>56</v>
      </c>
      <c r="C56" t="s">
        <v>355</v>
      </c>
      <c r="D56" s="68">
        <v>2306697560.1686411</v>
      </c>
      <c r="E56" s="68">
        <f t="shared" ref="E56" si="31">+D56/($D$2*12)</f>
        <v>4937.3230082634291</v>
      </c>
      <c r="F56" s="68">
        <v>1678126133.6060271</v>
      </c>
      <c r="G56" s="68">
        <f t="shared" ref="G56" si="32">+F56/($F$2*12)</f>
        <v>15325.352818319883</v>
      </c>
      <c r="H56" s="68">
        <v>132972780.76663788</v>
      </c>
      <c r="I56" s="68">
        <f t="shared" ref="I56" si="33">IFERROR(H56/($H$2*12),0)</f>
        <v>36450.871920679245</v>
      </c>
      <c r="J56" s="68">
        <f t="shared" si="28"/>
        <v>4937.3230082634291</v>
      </c>
      <c r="K56" s="68">
        <f t="shared" si="29"/>
        <v>15325.352818319883</v>
      </c>
      <c r="L56" s="68">
        <f t="shared" si="30"/>
        <v>36450.871920679245</v>
      </c>
      <c r="M56" s="77">
        <f>+IF('Fichas técnicas Tecnologías'!$Y$3&lt;=$H$2*12,I56,IF(AND('Fichas técnicas Tecnologías'!$Y$3&gt;$H$2*12,'Fichas técnicas Tecnologías'!$Y$3&lt;=$F$2*12),G56,E56))</f>
        <v>4937.3230082634291</v>
      </c>
      <c r="N56" s="76">
        <f>ROUND('Fichas técnicas Tecnologías'!$X$6*M56,-6)</f>
        <v>2469000000</v>
      </c>
      <c r="O56" s="126"/>
      <c r="P56" s="76"/>
      <c r="R56" s="158"/>
      <c r="S56" s="158"/>
    </row>
    <row r="57" spans="1:19" x14ac:dyDescent="0.25">
      <c r="B57">
        <v>57</v>
      </c>
      <c r="C57" t="s">
        <v>356</v>
      </c>
      <c r="D57" s="68"/>
      <c r="E57" s="68"/>
      <c r="F57" s="68"/>
      <c r="G57" s="68"/>
      <c r="H57" s="68"/>
      <c r="I57" s="68"/>
      <c r="J57" s="68"/>
      <c r="K57" s="68"/>
      <c r="L57" s="68"/>
      <c r="M57" s="77">
        <f>+IF('Fichas técnicas Tecnologías'!$Y$3&lt;=$H$2*12,I57,IF(AND('Fichas técnicas Tecnologías'!$Y$3&gt;$H$2*12,'Fichas técnicas Tecnologías'!$Y$3&lt;=$F$2*12),G57,E57))</f>
        <v>0</v>
      </c>
      <c r="N57" s="76" t="e">
        <f>SUM(N49:N55)</f>
        <v>#VALUE!</v>
      </c>
      <c r="P57" s="76"/>
    </row>
    <row r="58" spans="1:19" x14ac:dyDescent="0.25">
      <c r="B58">
        <v>58</v>
      </c>
      <c r="D58" s="68"/>
      <c r="E58" s="68"/>
      <c r="F58" s="68"/>
      <c r="G58" s="68"/>
      <c r="H58" s="68"/>
      <c r="I58" s="68"/>
      <c r="J58" s="68"/>
      <c r="K58" s="68"/>
      <c r="L58" s="68"/>
      <c r="N58" s="76"/>
      <c r="P58" s="76"/>
    </row>
    <row r="59" spans="1:19" x14ac:dyDescent="0.25">
      <c r="B59">
        <v>59</v>
      </c>
      <c r="D59" s="186">
        <v>0.9</v>
      </c>
      <c r="E59" s="68"/>
      <c r="F59" s="186">
        <v>0.95</v>
      </c>
      <c r="G59" s="68"/>
      <c r="H59" s="68"/>
      <c r="I59" s="68"/>
      <c r="J59" s="68"/>
      <c r="K59" s="68"/>
      <c r="L59" s="68"/>
      <c r="N59" s="76"/>
      <c r="P59" s="76"/>
    </row>
    <row r="60" spans="1:19" x14ac:dyDescent="0.25">
      <c r="B60">
        <v>60</v>
      </c>
      <c r="D60" s="68"/>
      <c r="E60" s="68"/>
      <c r="F60" s="68"/>
      <c r="G60" s="68"/>
      <c r="H60" s="68"/>
      <c r="I60" s="68"/>
      <c r="J60" s="68"/>
      <c r="K60" s="68"/>
      <c r="L60" s="68"/>
      <c r="N60" s="76"/>
      <c r="P60" s="76"/>
    </row>
    <row r="61" spans="1:19" x14ac:dyDescent="0.25">
      <c r="B61">
        <v>61</v>
      </c>
      <c r="D61" s="68"/>
      <c r="E61" s="68"/>
      <c r="F61" s="68"/>
      <c r="G61" s="68"/>
      <c r="H61" s="68"/>
      <c r="I61" s="68"/>
      <c r="J61" s="68"/>
      <c r="K61" s="68"/>
      <c r="L61" s="68"/>
      <c r="N61" s="76"/>
      <c r="P61" s="76"/>
    </row>
    <row r="62" spans="1:19" ht="15" customHeight="1" x14ac:dyDescent="0.25">
      <c r="B62">
        <v>62</v>
      </c>
      <c r="C62" s="280" t="str">
        <f>+'Fichas técnicas Tecnologías'!A9</f>
        <v>Digestión Anaerobia</v>
      </c>
      <c r="D62" s="280"/>
      <c r="E62" s="280"/>
      <c r="F62" s="280"/>
      <c r="G62" s="280"/>
      <c r="H62" s="280"/>
      <c r="I62" s="280"/>
      <c r="J62" s="280"/>
      <c r="K62" s="280"/>
      <c r="L62" s="74"/>
      <c r="M62" s="287" t="s">
        <v>336</v>
      </c>
      <c r="N62" s="287"/>
      <c r="O62" s="287" t="s">
        <v>337</v>
      </c>
      <c r="P62" s="287"/>
    </row>
    <row r="63" spans="1:19" x14ac:dyDescent="0.25">
      <c r="B63">
        <v>63</v>
      </c>
      <c r="C63" s="70" t="s">
        <v>338</v>
      </c>
      <c r="D63" s="290">
        <v>38933</v>
      </c>
      <c r="E63" s="290"/>
      <c r="F63" s="290">
        <v>9125</v>
      </c>
      <c r="G63" s="290"/>
      <c r="H63" s="291">
        <v>304</v>
      </c>
      <c r="I63" s="291"/>
      <c r="J63" s="292" t="s">
        <v>339</v>
      </c>
      <c r="K63" s="292"/>
      <c r="L63" s="69"/>
      <c r="M63" s="287"/>
      <c r="N63" s="287"/>
      <c r="O63" s="287"/>
      <c r="P63" s="287"/>
    </row>
    <row r="64" spans="1:19" x14ac:dyDescent="0.25">
      <c r="B64">
        <v>64</v>
      </c>
      <c r="C64" s="70" t="s">
        <v>340</v>
      </c>
      <c r="D64" s="71" t="s">
        <v>341</v>
      </c>
      <c r="E64" s="71" t="s">
        <v>342</v>
      </c>
      <c r="F64" s="71" t="s">
        <v>341</v>
      </c>
      <c r="G64" s="71" t="s">
        <v>342</v>
      </c>
      <c r="H64" s="71" t="s">
        <v>341</v>
      </c>
      <c r="I64" s="71" t="s">
        <v>342</v>
      </c>
      <c r="J64" s="69" t="s">
        <v>343</v>
      </c>
      <c r="K64" s="69" t="s">
        <v>344</v>
      </c>
      <c r="L64" s="69" t="s">
        <v>345</v>
      </c>
      <c r="M64" s="70" t="s">
        <v>346</v>
      </c>
      <c r="N64" s="69" t="s">
        <v>347</v>
      </c>
      <c r="O64" s="70" t="s">
        <v>346</v>
      </c>
      <c r="P64" s="69" t="s">
        <v>347</v>
      </c>
    </row>
    <row r="65" spans="1:19" x14ac:dyDescent="0.25">
      <c r="A65" t="str">
        <f>+$C$62</f>
        <v>Digestión Anaerobia</v>
      </c>
      <c r="B65">
        <v>65</v>
      </c>
      <c r="C65" t="s">
        <v>364</v>
      </c>
      <c r="D65" s="68">
        <f>610470135*D75</f>
        <v>549423121.5</v>
      </c>
      <c r="E65" s="68">
        <f>+D65/($D$63*12)</f>
        <v>1176.0013388385175</v>
      </c>
      <c r="F65" s="68">
        <f>143078938*F75</f>
        <v>135924991.09999999</v>
      </c>
      <c r="G65" s="68">
        <f>+F65/($F$63*12)</f>
        <v>1241.324119634703</v>
      </c>
      <c r="H65" s="68">
        <v>31359767</v>
      </c>
      <c r="I65" s="68">
        <f>IFERROR(H65/($H$63*12*20),0)</f>
        <v>429.821367872807</v>
      </c>
      <c r="J65" s="68">
        <f>+E65</f>
        <v>1176.0013388385175</v>
      </c>
      <c r="K65" s="68">
        <f>+G65</f>
        <v>1241.324119634703</v>
      </c>
      <c r="L65" s="68">
        <f t="shared" ref="L65" si="34">+MAX(E65,G65,I65)</f>
        <v>1241.324119634703</v>
      </c>
      <c r="M65" s="77">
        <f>+IF('Fichas técnicas Tecnologías'!$Y$3&lt;=$H$2*12,I65,IF(AND('Fichas técnicas Tecnologías'!$Y$3&gt;$H$2*12,'Fichas técnicas Tecnologías'!$Y$3&lt;=$F$2*12),G65,E65))</f>
        <v>1176.0013388385175</v>
      </c>
      <c r="N65" s="76">
        <f>ROUND('Fichas técnicas Tecnologías'!$X$9*M65,-6)</f>
        <v>588000000</v>
      </c>
      <c r="P65" s="76"/>
    </row>
    <row r="66" spans="1:19" x14ac:dyDescent="0.25">
      <c r="B66">
        <v>66</v>
      </c>
      <c r="C66" t="s">
        <v>351</v>
      </c>
      <c r="D66" s="288" t="s">
        <v>359</v>
      </c>
      <c r="E66" s="288"/>
      <c r="F66" s="288"/>
      <c r="G66" s="288"/>
      <c r="H66" s="288"/>
      <c r="I66" s="288"/>
      <c r="J66" s="288"/>
      <c r="K66" s="288"/>
      <c r="L66" s="289"/>
      <c r="M66" s="126" t="e">
        <f>'CDF y CRT-DA'!$H$4</f>
        <v>#VALUE!</v>
      </c>
      <c r="N66" s="76" t="e">
        <f>ROUND('Fichas técnicas Tecnologías'!$X$9*M66*'Fichas técnicas Tecnologías'!Q9,-6)</f>
        <v>#VALUE!</v>
      </c>
      <c r="O66" s="126"/>
      <c r="P66" s="76"/>
    </row>
    <row r="67" spans="1:19" x14ac:dyDescent="0.25">
      <c r="B67">
        <v>67</v>
      </c>
      <c r="C67" t="s">
        <v>365</v>
      </c>
      <c r="D67" s="68">
        <f>42732909*D75</f>
        <v>38459618.100000001</v>
      </c>
      <c r="E67" s="68">
        <f>+D67/($D$63*12)</f>
        <v>82.320092851822366</v>
      </c>
      <c r="F67" s="68">
        <f>10015526*F75</f>
        <v>9514749.6999999993</v>
      </c>
      <c r="G67" s="68">
        <f>+F67/($F$63*12)</f>
        <v>86.892691324200911</v>
      </c>
      <c r="H67" s="68">
        <v>2195184</v>
      </c>
      <c r="I67" s="68">
        <f>IFERROR(H67/($H$63*12*20),0)</f>
        <v>30.087499999999999</v>
      </c>
      <c r="J67" s="68">
        <f t="shared" ref="J67:J72" si="35">+E67</f>
        <v>82.320092851822366</v>
      </c>
      <c r="K67" s="68">
        <f t="shared" ref="K67:K72" si="36">+G67</f>
        <v>86.892691324200911</v>
      </c>
      <c r="L67" s="68">
        <f t="shared" ref="L67:L72" si="37">+MAX(E67,G67,I67)</f>
        <v>86.892691324200911</v>
      </c>
      <c r="M67" s="77">
        <f>+IF('Fichas técnicas Tecnologías'!$Y$3&lt;=$H$2*12,I67,IF(AND('Fichas técnicas Tecnologías'!$Y$3&gt;$H$2*12,'Fichas técnicas Tecnologías'!$Y$3&lt;=$F$2*12),G67,E67))</f>
        <v>82.320092851822366</v>
      </c>
      <c r="N67" s="76">
        <f>ROUND('Fichas técnicas Tecnologías'!$X$9*M67,-6)</f>
        <v>41000000</v>
      </c>
      <c r="P67" s="76"/>
    </row>
    <row r="68" spans="1:19" x14ac:dyDescent="0.25">
      <c r="B68">
        <v>68</v>
      </c>
      <c r="C68" t="s">
        <v>363</v>
      </c>
      <c r="D68" s="68">
        <v>45000000</v>
      </c>
      <c r="E68" s="68">
        <f>+D68/($D$63*12)</f>
        <v>96.31931780237845</v>
      </c>
      <c r="F68" s="68">
        <v>31359767</v>
      </c>
      <c r="G68" s="68">
        <f>+F68/($F$63*12)</f>
        <v>286.39056621004568</v>
      </c>
      <c r="H68" s="68">
        <v>15679884</v>
      </c>
      <c r="I68" s="68">
        <f>IFERROR(H68/($H$63*12*20),0)</f>
        <v>214.91069078947368</v>
      </c>
      <c r="J68" s="68">
        <f t="shared" si="35"/>
        <v>96.31931780237845</v>
      </c>
      <c r="K68" s="68">
        <f t="shared" si="36"/>
        <v>286.39056621004568</v>
      </c>
      <c r="L68" s="68">
        <f t="shared" si="37"/>
        <v>286.39056621004568</v>
      </c>
      <c r="M68" s="77">
        <f>+IF('Fichas técnicas Tecnologías'!$Y$3&lt;=$H$2*12,I68,IF(AND('Fichas técnicas Tecnologías'!$Y$3&gt;$H$2*12,'Fichas técnicas Tecnologías'!$Y$3&lt;=$F$2*12),G68,E68))</f>
        <v>96.31931780237845</v>
      </c>
      <c r="N68" s="76">
        <f>ROUND('Fichas técnicas Tecnologías'!$X$9*M68,-6)</f>
        <v>48000000</v>
      </c>
      <c r="P68" s="76"/>
    </row>
    <row r="69" spans="1:19" x14ac:dyDescent="0.25">
      <c r="B69">
        <v>69</v>
      </c>
      <c r="C69" t="s">
        <v>366</v>
      </c>
      <c r="D69" s="68">
        <f>7710048300*D75</f>
        <v>6939043470</v>
      </c>
      <c r="E69" s="68">
        <f>+D69/($D$63*12)</f>
        <v>14852.531849587753</v>
      </c>
      <c r="F69" s="68">
        <f>1993356567*F75</f>
        <v>1893688738.6499999</v>
      </c>
      <c r="G69" s="68">
        <f>+F69/($F$63*12)</f>
        <v>17293.961083561644</v>
      </c>
      <c r="H69" s="68">
        <v>518157800</v>
      </c>
      <c r="I69" s="68">
        <f>IFERROR(H69/($H$63*12*20),0)</f>
        <v>7101.9435307017548</v>
      </c>
      <c r="J69" s="68">
        <f t="shared" si="35"/>
        <v>14852.531849587753</v>
      </c>
      <c r="K69" s="68">
        <f t="shared" si="36"/>
        <v>17293.961083561644</v>
      </c>
      <c r="L69" s="68">
        <f t="shared" si="37"/>
        <v>17293.961083561644</v>
      </c>
      <c r="M69" s="77">
        <f>+IF('Fichas técnicas Tecnologías'!$Y$3&lt;=$H$2*12,I69,IF(AND('Fichas técnicas Tecnologías'!$Y$3&gt;$H$2*12,'Fichas técnicas Tecnologías'!$Y$3&lt;=$F$2*12),G69,E69))</f>
        <v>14852.531849587753</v>
      </c>
      <c r="N69" s="76">
        <f>ROUND('Fichas técnicas Tecnologías'!$X$9*M69,-6)</f>
        <v>7426000000</v>
      </c>
      <c r="P69" s="76"/>
    </row>
    <row r="70" spans="1:19" x14ac:dyDescent="0.25">
      <c r="B70">
        <v>70</v>
      </c>
      <c r="C70" t="s">
        <v>354</v>
      </c>
      <c r="D70" s="68">
        <f>358953774*D75</f>
        <v>323058396.60000002</v>
      </c>
      <c r="E70" s="68">
        <f>+D70/($D$63*12)</f>
        <v>691.48365268538259</v>
      </c>
      <c r="F70" s="68">
        <f>168259582*F75</f>
        <v>159846602.90000001</v>
      </c>
      <c r="G70" s="68">
        <f>+F70/($F$63*12)</f>
        <v>1459.7863278538814</v>
      </c>
      <c r="H70" s="68">
        <v>46098516</v>
      </c>
      <c r="I70" s="68">
        <f>IFERROR(H70/($H$63*12*20),0)</f>
        <v>631.83273026315794</v>
      </c>
      <c r="J70" s="68">
        <f t="shared" si="35"/>
        <v>691.48365268538259</v>
      </c>
      <c r="K70" s="68">
        <f t="shared" si="36"/>
        <v>1459.7863278538814</v>
      </c>
      <c r="L70" s="68">
        <f t="shared" si="37"/>
        <v>1459.7863278538814</v>
      </c>
      <c r="M70" s="77">
        <f>+IF('Fichas técnicas Tecnologías'!$Y$3&lt;=$H$2*12,I70,IF(AND('Fichas técnicas Tecnologías'!$Y$3&gt;$H$2*12,'Fichas técnicas Tecnologías'!$Y$3&lt;=$F$2*12),G70,E70))</f>
        <v>691.48365268538259</v>
      </c>
      <c r="N70" s="76">
        <f>ROUND('Fichas técnicas Tecnologías'!$X$9*M70,-6)</f>
        <v>346000000</v>
      </c>
      <c r="P70" s="76"/>
    </row>
    <row r="71" spans="1:19" x14ac:dyDescent="0.25">
      <c r="B71">
        <v>71</v>
      </c>
      <c r="C71" t="s">
        <v>362</v>
      </c>
      <c r="D71" s="68">
        <f>3371907834*1.5</f>
        <v>5057861751</v>
      </c>
      <c r="E71" s="68">
        <f>+D71/($D$47*12)</f>
        <v>10825.995408779185</v>
      </c>
      <c r="F71" s="68">
        <f>790290898*1.5</f>
        <v>1185436347</v>
      </c>
      <c r="G71" s="68">
        <f>+F71/($F$47*12)</f>
        <v>10825.902712328767</v>
      </c>
      <c r="H71" s="68">
        <v>87810101.5</v>
      </c>
      <c r="I71" s="68">
        <f>IFERROR(H71/($H$47*12),0)</f>
        <v>24070.751507675439</v>
      </c>
      <c r="J71" s="68">
        <f t="shared" si="35"/>
        <v>10825.995408779185</v>
      </c>
      <c r="K71" s="68">
        <f t="shared" si="36"/>
        <v>10825.902712328767</v>
      </c>
      <c r="L71" s="68">
        <f t="shared" si="37"/>
        <v>24070.751507675439</v>
      </c>
      <c r="M71" s="77">
        <f>+IF('Fichas técnicas Tecnologías'!$Y$3&lt;=$H$2*12,I71,IF(AND('Fichas técnicas Tecnologías'!$Y$3&gt;$H$2*12,'Fichas técnicas Tecnologías'!$Y$3&lt;=$F$2*12),G71,E71))</f>
        <v>10825.995408779185</v>
      </c>
      <c r="N71" s="76">
        <f>ROUND('Fichas técnicas Tecnologías'!$X$9*M71,-6)</f>
        <v>5413000000</v>
      </c>
      <c r="P71" s="76"/>
    </row>
    <row r="72" spans="1:19" x14ac:dyDescent="0.25">
      <c r="B72">
        <v>72</v>
      </c>
      <c r="C72" t="s">
        <v>355</v>
      </c>
      <c r="D72" s="68">
        <v>1472750904.0367501</v>
      </c>
      <c r="E72" s="68">
        <f>+D72/($D$2*12)</f>
        <v>3152.3191637701311</v>
      </c>
      <c r="F72" s="68">
        <v>1177532222.1710465</v>
      </c>
      <c r="G72" s="68">
        <f t="shared" ref="G72" si="38">+F72/($F$2*12)</f>
        <v>10753.718923936498</v>
      </c>
      <c r="H72" s="68">
        <v>882313540.30533838</v>
      </c>
      <c r="I72" s="68">
        <f t="shared" ref="I72" si="39">IFERROR(H72/($H$2*12),0)</f>
        <v>241862.26433808618</v>
      </c>
      <c r="J72" s="68">
        <f t="shared" si="35"/>
        <v>3152.3191637701311</v>
      </c>
      <c r="K72" s="68">
        <f t="shared" si="36"/>
        <v>10753.718923936498</v>
      </c>
      <c r="L72" s="68">
        <f t="shared" si="37"/>
        <v>241862.26433808618</v>
      </c>
      <c r="M72" s="77">
        <f>+IF('Fichas técnicas Tecnologías'!$Y$3&lt;=$H$2*12,I72,IF(AND('Fichas técnicas Tecnologías'!$Y$3&gt;$H$2*12,'Fichas técnicas Tecnologías'!$Y$3&lt;=$F$2*12),G72,E72))</f>
        <v>3152.3191637701311</v>
      </c>
      <c r="N72" s="76">
        <f>ROUND('Fichas técnicas Tecnologías'!$X$9*M72,-6)</f>
        <v>1576000000</v>
      </c>
      <c r="O72" s="126"/>
      <c r="P72" s="76"/>
      <c r="R72" s="158"/>
      <c r="S72" s="158"/>
    </row>
    <row r="73" spans="1:19" x14ac:dyDescent="0.25">
      <c r="B73">
        <v>73</v>
      </c>
      <c r="C73" t="s">
        <v>356</v>
      </c>
      <c r="D73" s="68"/>
      <c r="E73" s="68"/>
      <c r="F73" s="68"/>
      <c r="G73" s="68"/>
      <c r="H73" s="68"/>
      <c r="I73" s="68"/>
      <c r="J73" s="68"/>
      <c r="K73" s="68"/>
      <c r="L73" s="68"/>
      <c r="N73" s="76" t="e">
        <f>SUM(N65:N72)</f>
        <v>#VALUE!</v>
      </c>
      <c r="P73" s="76"/>
    </row>
    <row r="74" spans="1:19" x14ac:dyDescent="0.25">
      <c r="B74">
        <v>74</v>
      </c>
      <c r="D74" s="68"/>
      <c r="E74" s="68"/>
      <c r="F74" s="68"/>
      <c r="G74" s="68"/>
      <c r="H74" s="68"/>
      <c r="I74" s="68"/>
      <c r="J74" s="68"/>
      <c r="K74" s="68"/>
      <c r="L74" s="68"/>
      <c r="N74" s="76"/>
      <c r="P74" s="76"/>
    </row>
    <row r="75" spans="1:19" x14ac:dyDescent="0.25">
      <c r="B75">
        <v>75</v>
      </c>
      <c r="D75" s="186">
        <v>0.9</v>
      </c>
      <c r="E75" s="68"/>
      <c r="F75" s="186">
        <v>0.95</v>
      </c>
    </row>
    <row r="76" spans="1:19" x14ac:dyDescent="0.25">
      <c r="B76">
        <v>76</v>
      </c>
      <c r="N76" s="174" t="e">
        <f>+N66/N73</f>
        <v>#VALUE!</v>
      </c>
    </row>
    <row r="77" spans="1:19" x14ac:dyDescent="0.25">
      <c r="B77">
        <v>77</v>
      </c>
      <c r="G77" s="182"/>
    </row>
  </sheetData>
  <mergeCells count="38">
    <mergeCell ref="C1:K1"/>
    <mergeCell ref="M1:N2"/>
    <mergeCell ref="D2:E2"/>
    <mergeCell ref="F2:G2"/>
    <mergeCell ref="H2:I2"/>
    <mergeCell ref="J2:K2"/>
    <mergeCell ref="C16:K16"/>
    <mergeCell ref="M16:N17"/>
    <mergeCell ref="D17:E17"/>
    <mergeCell ref="F17:G17"/>
    <mergeCell ref="H17:I17"/>
    <mergeCell ref="J17:K17"/>
    <mergeCell ref="C31:K31"/>
    <mergeCell ref="M31:N32"/>
    <mergeCell ref="D32:E32"/>
    <mergeCell ref="F32:G32"/>
    <mergeCell ref="H32:I32"/>
    <mergeCell ref="J32:K32"/>
    <mergeCell ref="C46:K46"/>
    <mergeCell ref="M46:N47"/>
    <mergeCell ref="D47:E47"/>
    <mergeCell ref="F47:G47"/>
    <mergeCell ref="H47:I47"/>
    <mergeCell ref="J47:K47"/>
    <mergeCell ref="D66:L66"/>
    <mergeCell ref="D49:L49"/>
    <mergeCell ref="C62:K62"/>
    <mergeCell ref="M62:N63"/>
    <mergeCell ref="D63:E63"/>
    <mergeCell ref="F63:G63"/>
    <mergeCell ref="H63:I63"/>
    <mergeCell ref="J63:K63"/>
    <mergeCell ref="D50:L50"/>
    <mergeCell ref="O1:P2"/>
    <mergeCell ref="O16:P17"/>
    <mergeCell ref="O31:P32"/>
    <mergeCell ref="O46:P47"/>
    <mergeCell ref="O62:P63"/>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9B752-559C-4435-894B-78EAFD11A7FE}">
  <sheetPr codeName="Hoja9">
    <tabColor theme="6"/>
  </sheetPr>
  <dimension ref="A1:Q413"/>
  <sheetViews>
    <sheetView zoomScale="73" zoomScaleNormal="73" workbookViewId="0">
      <pane xSplit="3" ySplit="3" topLeftCell="D4" activePane="bottomRight" state="frozen"/>
      <selection pane="topRight" activeCell="B128" sqref="B128"/>
      <selection pane="bottomLeft" activeCell="B128" sqref="B128"/>
      <selection pane="bottomRight" activeCell="B128" sqref="B128"/>
    </sheetView>
  </sheetViews>
  <sheetFormatPr baseColWidth="10" defaultColWidth="11.42578125" defaultRowHeight="15" x14ac:dyDescent="0.25"/>
  <cols>
    <col min="1" max="1" width="40" style="2" customWidth="1"/>
    <col min="2" max="2" width="40" style="88" customWidth="1"/>
    <col min="3" max="3" width="66.140625" customWidth="1"/>
    <col min="4" max="4" width="21.85546875" customWidth="1"/>
    <col min="5" max="5" width="17.140625" bestFit="1" customWidth="1"/>
    <col min="6" max="6" width="17.28515625" bestFit="1" customWidth="1"/>
    <col min="7" max="7" width="14.28515625" bestFit="1" customWidth="1"/>
    <col min="8" max="8" width="17.140625" bestFit="1" customWidth="1"/>
    <col min="9" max="9" width="15.140625" customWidth="1"/>
    <col min="10" max="10" width="12" hidden="1" customWidth="1"/>
    <col min="11" max="12" width="19.85546875" hidden="1" customWidth="1"/>
    <col min="13" max="13" width="28.7109375" style="72" bestFit="1" customWidth="1"/>
    <col min="14" max="14" width="21.42578125" customWidth="1"/>
    <col min="15" max="15" width="28.7109375" style="72" bestFit="1" customWidth="1"/>
    <col min="16" max="16" width="21.42578125" customWidth="1"/>
  </cols>
  <sheetData>
    <row r="1" spans="1:17" ht="15" customHeight="1" x14ac:dyDescent="0.25">
      <c r="B1" s="88">
        <v>1</v>
      </c>
      <c r="C1" s="280" t="str">
        <f>+'Fichas técnicas Tecnologías'!A3</f>
        <v>Compostaje en pilas con volteo manual</v>
      </c>
      <c r="D1" s="280"/>
      <c r="E1" s="280"/>
      <c r="F1" s="280"/>
      <c r="G1" s="280"/>
      <c r="H1" s="280"/>
      <c r="I1" s="280"/>
      <c r="J1" s="280"/>
      <c r="K1" s="280"/>
      <c r="L1" s="74"/>
      <c r="M1" s="287" t="s">
        <v>336</v>
      </c>
      <c r="N1" s="287"/>
      <c r="O1" s="287" t="s">
        <v>337</v>
      </c>
      <c r="P1" s="287"/>
    </row>
    <row r="2" spans="1:17" x14ac:dyDescent="0.25">
      <c r="B2" s="88">
        <f>B1+1</f>
        <v>2</v>
      </c>
      <c r="C2" s="70" t="s">
        <v>338</v>
      </c>
      <c r="D2" s="290">
        <v>38933</v>
      </c>
      <c r="E2" s="290"/>
      <c r="F2" s="290">
        <v>9125</v>
      </c>
      <c r="G2" s="290"/>
      <c r="H2" s="291">
        <v>304</v>
      </c>
      <c r="I2" s="291"/>
      <c r="J2" s="292" t="s">
        <v>339</v>
      </c>
      <c r="K2" s="292"/>
      <c r="L2" s="69"/>
      <c r="M2" s="287"/>
      <c r="N2" s="287"/>
      <c r="O2" s="287"/>
      <c r="P2" s="287"/>
    </row>
    <row r="3" spans="1:17" x14ac:dyDescent="0.25">
      <c r="B3" s="88">
        <f t="shared" ref="B3:B68" si="0">B2+1</f>
        <v>3</v>
      </c>
      <c r="C3" s="70" t="s">
        <v>367</v>
      </c>
      <c r="D3" s="71" t="s">
        <v>368</v>
      </c>
      <c r="E3" s="71" t="s">
        <v>369</v>
      </c>
      <c r="F3" s="71" t="s">
        <v>368</v>
      </c>
      <c r="G3" s="71" t="s">
        <v>369</v>
      </c>
      <c r="H3" s="71" t="s">
        <v>368</v>
      </c>
      <c r="I3" s="71" t="s">
        <v>369</v>
      </c>
      <c r="J3" s="69" t="s">
        <v>343</v>
      </c>
      <c r="K3" s="69" t="s">
        <v>344</v>
      </c>
      <c r="L3" s="69" t="s">
        <v>345</v>
      </c>
      <c r="M3" s="71" t="s">
        <v>346</v>
      </c>
      <c r="N3" s="69" t="s">
        <v>347</v>
      </c>
      <c r="O3" s="71" t="s">
        <v>346</v>
      </c>
      <c r="P3" s="69" t="s">
        <v>347</v>
      </c>
    </row>
    <row r="4" spans="1:17" x14ac:dyDescent="0.25">
      <c r="A4" s="2" t="str">
        <f>$C$1</f>
        <v>Compostaje en pilas con volteo manual</v>
      </c>
      <c r="B4" s="88">
        <f t="shared" si="0"/>
        <v>4</v>
      </c>
      <c r="C4" t="s">
        <v>370</v>
      </c>
      <c r="D4" s="68"/>
      <c r="E4" s="68"/>
      <c r="F4" s="68"/>
      <c r="G4" s="68"/>
      <c r="H4" s="68"/>
      <c r="I4" s="68"/>
      <c r="K4" s="68"/>
      <c r="L4" s="68"/>
      <c r="N4" s="73"/>
      <c r="P4" s="72"/>
      <c r="Q4" s="13"/>
    </row>
    <row r="5" spans="1:17" x14ac:dyDescent="0.25">
      <c r="B5" s="88">
        <f t="shared" si="0"/>
        <v>5</v>
      </c>
      <c r="C5" s="191" t="s">
        <v>371</v>
      </c>
      <c r="D5" s="68">
        <v>873399584</v>
      </c>
      <c r="E5" s="68">
        <f>+D5/($D$2*12)</f>
        <v>1869.4500466613583</v>
      </c>
      <c r="F5" s="68">
        <v>299277561</v>
      </c>
      <c r="G5" s="68">
        <f>+F5/($F$2*12)</f>
        <v>2733.1284109589042</v>
      </c>
      <c r="H5" s="68">
        <v>40601853</v>
      </c>
      <c r="I5" s="68">
        <f>IFERROR(H25/($H$2*12),0)</f>
        <v>12742.615679824561</v>
      </c>
      <c r="J5" s="68">
        <f>+E5</f>
        <v>1869.4500466613583</v>
      </c>
      <c r="K5" s="68">
        <f>+G5</f>
        <v>2733.1284109589042</v>
      </c>
      <c r="L5" s="68">
        <f t="shared" ref="L5" si="1">+MAX(E5,G5,I5)</f>
        <v>12742.615679824561</v>
      </c>
      <c r="M5" s="77">
        <f>+IF('Fichas técnicas Tecnologías'!$X$3&lt;=$H$2*12,I5,IF(AND('Fichas técnicas Tecnologías'!$X$3&gt;$H$2*12,'Fichas técnicas Tecnologías'!$X$3&lt;=$F$2*12),G5,E5))</f>
        <v>1869.4500466613583</v>
      </c>
      <c r="N5" s="72">
        <f>ROUND('Fichas técnicas Tecnologías'!$X$3*M5,-6)</f>
        <v>374000000</v>
      </c>
      <c r="O5" s="77">
        <f>+IF('Fichas técnicas Tecnologías'!$Y$3&lt;=$H$2*12,I5,IF(AND('Fichas técnicas Tecnologías'!$Y$3&gt;$H$2*12,'Fichas técnicas Tecnologías'!$Y$3&lt;=$F$2*12),G5,E5))</f>
        <v>1869.4500466613583</v>
      </c>
      <c r="P5" s="72">
        <f>IFERROR(ROUND('Fichas técnicas Tecnologías'!$Y$3*O5,-6),"Se debe indicar cantidades en los datos de entrada")</f>
        <v>374000000</v>
      </c>
    </row>
    <row r="6" spans="1:17" x14ac:dyDescent="0.25">
      <c r="B6" s="88">
        <f t="shared" si="0"/>
        <v>6</v>
      </c>
      <c r="C6" s="191" t="s">
        <v>372</v>
      </c>
      <c r="D6" s="68">
        <v>200000000</v>
      </c>
      <c r="E6" s="68">
        <f>+D6/($D$2*12)</f>
        <v>428.08585689945977</v>
      </c>
      <c r="F6" s="68">
        <v>149638781</v>
      </c>
      <c r="G6" s="68">
        <f>+F6/($F$2*12)</f>
        <v>1366.5642100456621</v>
      </c>
      <c r="H6" s="68">
        <v>20300927</v>
      </c>
      <c r="I6" s="68">
        <f>IFERROR(H26/($H$2*12),0)</f>
        <v>6371.3078399122805</v>
      </c>
      <c r="J6" s="68">
        <f>+E6</f>
        <v>428.08585689945977</v>
      </c>
      <c r="K6" s="68">
        <f>+G6</f>
        <v>1366.5642100456621</v>
      </c>
      <c r="L6" s="68">
        <f t="shared" ref="L6" si="2">+MAX(E6,G6,I6)</f>
        <v>6371.3078399122805</v>
      </c>
      <c r="M6" s="77">
        <f>+IF('Fichas técnicas Tecnologías'!$X$3&lt;=$H$2*12,I6,IF(AND('Fichas técnicas Tecnologías'!$X$3&gt;$H$2*12,'Fichas técnicas Tecnologías'!$X$3&lt;=$F$2*12),G6,E6))</f>
        <v>428.08585689945977</v>
      </c>
      <c r="N6" s="72">
        <f>ROUND('Fichas técnicas Tecnologías'!$X$3*M6,-6)</f>
        <v>86000000</v>
      </c>
      <c r="O6" s="77">
        <f>+IF('Fichas técnicas Tecnologías'!$Y$3&lt;=$H$2*12,I6,IF(AND('Fichas técnicas Tecnologías'!$Y$3&gt;$H$2*12,'Fichas técnicas Tecnologías'!$Y$3&lt;=$F$2*12),G6,E6))</f>
        <v>428.08585689945977</v>
      </c>
      <c r="P6" s="72">
        <f>IFERROR(ROUND('Fichas técnicas Tecnologías'!$Y$3*O6,-6),"Se debe indicar cantidades en los datos de entrada")</f>
        <v>86000000</v>
      </c>
    </row>
    <row r="7" spans="1:17" x14ac:dyDescent="0.25">
      <c r="B7" s="88">
        <f t="shared" si="0"/>
        <v>7</v>
      </c>
      <c r="C7" t="s">
        <v>373</v>
      </c>
      <c r="D7" s="68">
        <v>40698008973</v>
      </c>
      <c r="E7" s="68">
        <f t="shared" ref="E7" si="3">+D7/($D$2*12)</f>
        <v>87111.210226543029</v>
      </c>
      <c r="F7" s="68">
        <v>9538595853</v>
      </c>
      <c r="G7" s="68">
        <f t="shared" ref="G7" si="4">+F7/($F$2*12)</f>
        <v>87110.464410958899</v>
      </c>
      <c r="H7" s="68">
        <v>317953195</v>
      </c>
      <c r="I7" s="68">
        <f>IFERROR(H27/($H$2*12),0)</f>
        <v>93259.297971491222</v>
      </c>
      <c r="J7" s="68">
        <f>+E7</f>
        <v>87111.210226543029</v>
      </c>
      <c r="K7" s="68">
        <f>+G7</f>
        <v>87110.464410958899</v>
      </c>
      <c r="L7" s="68">
        <f t="shared" ref="L7" si="5">+MAX(E7,G7,I7)</f>
        <v>93259.297971491222</v>
      </c>
      <c r="M7" s="77">
        <f>+IF('Fichas técnicas Tecnologías'!$X$3&lt;=$H$2*12,I7,IF(AND('Fichas técnicas Tecnologías'!$X$3&gt;$H$2*12,'Fichas técnicas Tecnologías'!$X$3&lt;=$F$2*12),G7,E7))</f>
        <v>87111.210226543029</v>
      </c>
      <c r="N7" s="72">
        <f>ROUND('Fichas técnicas Tecnologías'!$X$3*M7,-6)</f>
        <v>17422000000</v>
      </c>
      <c r="O7" s="77">
        <f>+IF('Fichas técnicas Tecnologías'!$Y$3&lt;=$H$2*12,I7,IF(AND('Fichas técnicas Tecnologías'!$Y$3&gt;$H$2*12,'Fichas técnicas Tecnologías'!$Y$3&lt;=$F$2*12),G7,E7))</f>
        <v>87111.210226543029</v>
      </c>
      <c r="P7" s="72">
        <f>IFERROR(ROUND('Fichas técnicas Tecnologías'!$Y$3*O7,-6),"Se debe indicar cantidades en los datos de entrada")</f>
        <v>17422000000</v>
      </c>
    </row>
    <row r="8" spans="1:17" x14ac:dyDescent="0.25">
      <c r="B8" s="88">
        <f t="shared" si="0"/>
        <v>8</v>
      </c>
      <c r="C8" t="s">
        <v>374</v>
      </c>
      <c r="D8" s="68"/>
      <c r="E8" s="68"/>
      <c r="F8" s="68"/>
      <c r="G8" s="68"/>
      <c r="H8" s="68"/>
      <c r="I8" s="68"/>
      <c r="J8" s="68"/>
      <c r="K8" s="68"/>
      <c r="L8" s="68"/>
      <c r="N8" s="72"/>
      <c r="P8" s="72"/>
    </row>
    <row r="9" spans="1:17" x14ac:dyDescent="0.25">
      <c r="B9" s="88">
        <f t="shared" si="0"/>
        <v>9</v>
      </c>
      <c r="C9" t="s">
        <v>375</v>
      </c>
      <c r="D9" s="68">
        <v>1345846222</v>
      </c>
      <c r="E9" s="68">
        <f t="shared" ref="E9:E16" si="6">+D9/($D$2*12)</f>
        <v>2880.6886659988527</v>
      </c>
      <c r="F9" s="68">
        <v>336461555</v>
      </c>
      <c r="G9" s="68">
        <f t="shared" ref="G9:G16" si="7">+F9/($F$2*12)</f>
        <v>3072.7082648401824</v>
      </c>
      <c r="H9" s="68">
        <v>168230778</v>
      </c>
      <c r="I9" s="68">
        <f>IFERROR(H29/($H$2*12),0)</f>
        <v>49344.005482456138</v>
      </c>
      <c r="J9" s="68">
        <f>+E9</f>
        <v>2880.6886659988527</v>
      </c>
      <c r="K9" s="68">
        <f>+G9</f>
        <v>3072.7082648401824</v>
      </c>
      <c r="L9" s="68">
        <f t="shared" ref="L9" si="8">+MAX(E9,G9,I9)</f>
        <v>49344.005482456138</v>
      </c>
      <c r="M9" s="77">
        <f>+IF('Fichas técnicas Tecnologías'!$X$3&lt;=$H$2*12,I9,IF(AND('Fichas técnicas Tecnologías'!$X$3&gt;$H$2*12,'Fichas técnicas Tecnologías'!$X$3&lt;=$F$2*12),G9,E9))</f>
        <v>2880.6886659988527</v>
      </c>
      <c r="N9" s="72">
        <f>ROUND('Fichas técnicas Tecnologías'!$X$3*M9,-6)</f>
        <v>576000000</v>
      </c>
      <c r="O9" s="77">
        <f>+IF('Fichas técnicas Tecnologías'!$Y$3&lt;=$H$2*12,I9,IF(AND('Fichas técnicas Tecnologías'!$Y$3&gt;$H$2*12,'Fichas técnicas Tecnologías'!$Y$3&lt;=$F$2*12),G9,E9))</f>
        <v>2880.6886659988527</v>
      </c>
      <c r="P9" s="72">
        <f>IFERROR(ROUND('Fichas técnicas Tecnologías'!$Y$3*O9,-6),"Se debe indicar cantidades en los datos de entrada")</f>
        <v>576000000</v>
      </c>
    </row>
    <row r="10" spans="1:17" x14ac:dyDescent="0.25">
      <c r="B10" s="88">
        <f t="shared" si="0"/>
        <v>10</v>
      </c>
      <c r="C10" t="s">
        <v>376</v>
      </c>
      <c r="D10" s="68">
        <v>488689705</v>
      </c>
      <c r="E10" s="68">
        <f t="shared" si="6"/>
        <v>1046.0057556143461</v>
      </c>
      <c r="F10" s="68">
        <v>244344853</v>
      </c>
      <c r="G10" s="68">
        <f t="shared" si="7"/>
        <v>2231.4598447488584</v>
      </c>
      <c r="H10" s="68">
        <v>244344853</v>
      </c>
      <c r="I10" s="68">
        <f>IFERROR(H30/($H$2*12),0)</f>
        <v>71669.131578947374</v>
      </c>
      <c r="J10" s="68"/>
      <c r="K10" s="68"/>
      <c r="L10" s="68"/>
      <c r="M10" s="187">
        <f>+N10/'Fichas técnicas Tecnologías'!$X$3</f>
        <v>2443.4485249999998</v>
      </c>
      <c r="N10" s="72">
        <f>IF('Fichas técnicas Tecnologías'!$X$3&lt;=$H$2*12,H10,IF(AND('Fichas técnicas Tecnologías'!$X$3&gt;$H$2*12,'Fichas técnicas Tecnologías'!$X$3&lt;=$F$2*12),F10,D10))</f>
        <v>488689705</v>
      </c>
      <c r="O10" s="72">
        <f>IF('Fichas técnicas Tecnologías'!$Y$3*Cálculo!$B$130&gt;=$F$2,IF(L10=0,J10+K10/'Fichas técnicas Tecnologías'!$Y$3*Cálculo!$B$130,MIN(L10,J10+K10/'Fichas técnicas Tecnologías'!$Y$3*Cálculo!$B$130)), MIN(L10,J10+K10/'Fichas técnicas Tecnologías'!$Y$3*Cálculo!$B$130))</f>
        <v>0</v>
      </c>
      <c r="P10" s="72">
        <f>IF('Fichas técnicas Tecnologías'!$Y$3&lt;=$H$2*12,H10,IF(AND('Fichas técnicas Tecnologías'!$Y$3&gt;$H$2*12,'Fichas técnicas Tecnologías'!$Y$3&lt;=$F$2*12),F10,D10))</f>
        <v>488689705</v>
      </c>
    </row>
    <row r="11" spans="1:17" x14ac:dyDescent="0.25">
      <c r="B11" s="88">
        <f t="shared" si="0"/>
        <v>11</v>
      </c>
      <c r="C11" t="s">
        <v>377</v>
      </c>
      <c r="D11" s="68">
        <v>488689705</v>
      </c>
      <c r="E11" s="68">
        <f t="shared" si="6"/>
        <v>1046.0057556143461</v>
      </c>
      <c r="F11" s="68">
        <v>244344853</v>
      </c>
      <c r="G11" s="68">
        <f t="shared" si="7"/>
        <v>2231.4598447488584</v>
      </c>
      <c r="H11" s="68">
        <v>0</v>
      </c>
      <c r="I11" s="68">
        <f>IFERROR(H31/($H$2*Cálculo!$B$130),0)</f>
        <v>0</v>
      </c>
      <c r="J11" s="68"/>
      <c r="K11" s="68"/>
      <c r="L11" s="68"/>
      <c r="M11" s="187">
        <f>+N11/'Fichas técnicas Tecnologías'!$X$3</f>
        <v>2443.4485249999998</v>
      </c>
      <c r="N11" s="72">
        <f>IF('Fichas técnicas Tecnologías'!$X$3&lt;=$H$2*12,H11,IF(AND('Fichas técnicas Tecnologías'!$X$3&gt;$H$2*12,'Fichas técnicas Tecnologías'!$X$3&lt;=$F$2*12),F11,D11))</f>
        <v>488689705</v>
      </c>
      <c r="O11" s="72">
        <f>IF('Fichas técnicas Tecnologías'!$Y$3*Cálculo!$B$130&gt;=$F$2,IF(L11=0,J11+K11/'Fichas técnicas Tecnologías'!$Y$3*Cálculo!$B$130,MIN(L11,J11+K11/'Fichas técnicas Tecnologías'!$Y$3*Cálculo!$B$130)), MIN(L11,J11+K11/'Fichas técnicas Tecnologías'!$Y$3*Cálculo!$B$130))</f>
        <v>0</v>
      </c>
      <c r="P11" s="72">
        <f>IF('Fichas técnicas Tecnologías'!$Y$3&lt;=$H$2*12,H11,IF(AND('Fichas técnicas Tecnologías'!$Y$3&gt;$H$2*12,'Fichas técnicas Tecnologías'!$Y$3&lt;=$F$2*12),F11,D11))</f>
        <v>488689705</v>
      </c>
    </row>
    <row r="12" spans="1:17" x14ac:dyDescent="0.25">
      <c r="B12" s="88">
        <f t="shared" si="0"/>
        <v>12</v>
      </c>
      <c r="C12" t="s">
        <v>378</v>
      </c>
      <c r="D12" s="68">
        <v>425970171</v>
      </c>
      <c r="E12" s="68">
        <f t="shared" si="6"/>
        <v>911.759028330722</v>
      </c>
      <c r="F12" s="68">
        <v>212985085</v>
      </c>
      <c r="G12" s="68">
        <f t="shared" si="7"/>
        <v>1945.0692694063928</v>
      </c>
      <c r="H12" s="68">
        <v>0</v>
      </c>
      <c r="I12" s="68">
        <f>IFERROR(H32/($H$2*Cálculo!$B$130),0)</f>
        <v>0</v>
      </c>
      <c r="J12" s="68"/>
      <c r="K12" s="68"/>
      <c r="L12" s="68"/>
      <c r="M12" s="187">
        <f>+N12/'Fichas técnicas Tecnologías'!$X$3</f>
        <v>2129.8508550000001</v>
      </c>
      <c r="N12" s="72">
        <f>IF('Fichas técnicas Tecnologías'!$X$3&lt;=$H$2*12,H12,IF(AND('Fichas técnicas Tecnologías'!$X$3&gt;$H$2*12,'Fichas técnicas Tecnologías'!$X$3&lt;=$F$2*12),F12,D12))</f>
        <v>425970171</v>
      </c>
      <c r="O12" s="72">
        <f>IF('Fichas técnicas Tecnologías'!$Y$3*Cálculo!$B$130&gt;=$F$2,IF(L12=0,J12+K12/'Fichas técnicas Tecnologías'!$Y$3*Cálculo!$B$130,MIN(L12,J12+K12/'Fichas técnicas Tecnologías'!$Y$3*Cálculo!$B$130)), MIN(L12,J12+K12/'Fichas técnicas Tecnologías'!$Y$3*Cálculo!$B$130))</f>
        <v>0</v>
      </c>
      <c r="P12" s="72">
        <f>IF('Fichas técnicas Tecnologías'!$Y$3&lt;=$H$2*12,H12,IF(AND('Fichas técnicas Tecnologías'!$Y$3&gt;$H$2*12,'Fichas técnicas Tecnologías'!$Y$3&lt;=$F$2*12),F12,D12))</f>
        <v>425970171</v>
      </c>
    </row>
    <row r="13" spans="1:17" x14ac:dyDescent="0.25">
      <c r="B13" s="88">
        <f t="shared" si="0"/>
        <v>13</v>
      </c>
      <c r="C13" t="s">
        <v>379</v>
      </c>
      <c r="D13" s="68">
        <f>+F13*2</f>
        <v>303144416</v>
      </c>
      <c r="E13" s="68">
        <f t="shared" si="6"/>
        <v>648.85918543823152</v>
      </c>
      <c r="F13" s="68">
        <v>151572208</v>
      </c>
      <c r="G13" s="68">
        <f t="shared" si="7"/>
        <v>1384.2210776255708</v>
      </c>
      <c r="H13" s="68">
        <v>0</v>
      </c>
      <c r="I13" s="68">
        <f>IFERROR(H33/($H$2*Cálculo!$B$130),0)</f>
        <v>0</v>
      </c>
      <c r="J13" s="68"/>
      <c r="K13" s="68"/>
      <c r="L13" s="68"/>
      <c r="M13" s="187">
        <f>+N13/'Fichas técnicas Tecnologías'!$X$3</f>
        <v>1515.72208</v>
      </c>
      <c r="N13" s="72">
        <f>IF('Fichas técnicas Tecnologías'!$X$3&lt;=$H$2*12,H13,IF(AND('Fichas técnicas Tecnologías'!$X$3&gt;$H$2*12,'Fichas técnicas Tecnologías'!$X$3&lt;=$F$2*12),F13,D13))</f>
        <v>303144416</v>
      </c>
      <c r="O13" s="72">
        <f>IF('Fichas técnicas Tecnologías'!$Y$3*Cálculo!$B$130&gt;=$F$2,IF(L13=0,J13+K13/'Fichas técnicas Tecnologías'!$Y$3*Cálculo!$B$130,MIN(L13,J13+K13/'Fichas técnicas Tecnologías'!$Y$3*Cálculo!$B$130)), MIN(L13,J13+K13/'Fichas técnicas Tecnologías'!$Y$3*Cálculo!$B$130))</f>
        <v>0</v>
      </c>
      <c r="P13" s="72">
        <f>IF('Fichas técnicas Tecnologías'!$Y$3&lt;=$H$2*12,H13,IF(AND('Fichas técnicas Tecnologías'!$Y$3&gt;$H$2*12,'Fichas técnicas Tecnologías'!$Y$3&lt;=$F$2*12),F13,D13))</f>
        <v>303144416</v>
      </c>
    </row>
    <row r="14" spans="1:17" x14ac:dyDescent="0.25">
      <c r="B14" s="88">
        <f t="shared" si="0"/>
        <v>14</v>
      </c>
      <c r="C14" t="s">
        <v>380</v>
      </c>
      <c r="D14" s="68">
        <f>+F14*2</f>
        <v>287464532</v>
      </c>
      <c r="E14" s="68">
        <f t="shared" si="6"/>
        <v>615.29750254711087</v>
      </c>
      <c r="F14" s="68">
        <v>143732266</v>
      </c>
      <c r="G14" s="68">
        <f t="shared" si="7"/>
        <v>1312.6234337899543</v>
      </c>
      <c r="H14" s="68">
        <v>143732266</v>
      </c>
      <c r="I14" s="68">
        <f>IFERROR(H34/($H$2*12),0)</f>
        <v>42158.312774122809</v>
      </c>
      <c r="J14" s="68"/>
      <c r="K14" s="68"/>
      <c r="L14" s="68"/>
      <c r="M14" s="187">
        <f>+N14/'Fichas técnicas Tecnologías'!$X$3</f>
        <v>1437.32266</v>
      </c>
      <c r="N14" s="72">
        <f>IF('Fichas técnicas Tecnologías'!$X$3&lt;=$H$2*12,H14,IF(AND('Fichas técnicas Tecnologías'!$X$3&gt;$H$2*12,'Fichas técnicas Tecnologías'!$X$3&lt;=$F$2*12),F14,D14))</f>
        <v>287464532</v>
      </c>
      <c r="O14" s="72">
        <f>IF('Fichas técnicas Tecnologías'!$Y$3*Cálculo!$B$130&gt;=$F$2,IF(L14=0,J14+K14/'Fichas técnicas Tecnologías'!$Y$3*Cálculo!$B$130,MIN(L14,J14+K14/'Fichas técnicas Tecnologías'!$Y$3*Cálculo!$B$130)), MIN(L14,J14+K14/'Fichas técnicas Tecnologías'!$Y$3*Cálculo!$B$130))</f>
        <v>0</v>
      </c>
      <c r="P14" s="72">
        <f>IF('Fichas técnicas Tecnologías'!$Y$3&lt;=$H$2*12,H14,IF(AND('Fichas técnicas Tecnologías'!$Y$3&gt;$H$2*12,'Fichas técnicas Tecnologías'!$Y$3&lt;=$F$2*12),F14,D14))</f>
        <v>287464532</v>
      </c>
    </row>
    <row r="15" spans="1:17" x14ac:dyDescent="0.25">
      <c r="B15" s="88">
        <f t="shared" si="0"/>
        <v>15</v>
      </c>
      <c r="C15" t="s">
        <v>381</v>
      </c>
      <c r="D15" s="68">
        <f>+F15*2</f>
        <v>70559476</v>
      </c>
      <c r="E15" s="68">
        <f t="shared" si="6"/>
        <v>151.02756872918434</v>
      </c>
      <c r="F15" s="68">
        <v>35279738</v>
      </c>
      <c r="G15" s="68">
        <f t="shared" si="7"/>
        <v>322.18938812785387</v>
      </c>
      <c r="H15" s="68">
        <v>35279738</v>
      </c>
      <c r="I15" s="68">
        <f>IFERROR(H35/($H$2*12),0)</f>
        <v>10347.94956140351</v>
      </c>
      <c r="J15" s="68"/>
      <c r="K15" s="68"/>
      <c r="L15" s="68"/>
      <c r="M15" s="187">
        <f>+N15/'Fichas técnicas Tecnologías'!$X$3</f>
        <v>352.79737999999998</v>
      </c>
      <c r="N15" s="72">
        <f>IF('Fichas técnicas Tecnologías'!$X$3&lt;=$H$2*12,H15,IF(AND('Fichas técnicas Tecnologías'!$X$3&gt;$H$2*12,'Fichas técnicas Tecnologías'!$X$3&lt;=$F$2*12),F15,D15))</f>
        <v>70559476</v>
      </c>
      <c r="O15" s="72">
        <f>IF('Fichas técnicas Tecnologías'!$Y$3*Cálculo!$B$130&gt;=$F$2,IF(L15=0,J15+K15/'Fichas técnicas Tecnologías'!$Y$3*Cálculo!$B$130,MIN(L15,J15+K15/'Fichas técnicas Tecnologías'!$Y$3*Cálculo!$B$130)), MIN(L15,J15+K15/'Fichas técnicas Tecnologías'!$Y$3*Cálculo!$B$130))</f>
        <v>0</v>
      </c>
      <c r="P15" s="72">
        <f>IF('Fichas técnicas Tecnologías'!$Y$3&lt;=$H$2*12,H15,IF(AND('Fichas técnicas Tecnologías'!$Y$3&gt;$H$2*12,'Fichas técnicas Tecnologías'!$Y$3&lt;=$F$2*12),F15,D15))</f>
        <v>70559476</v>
      </c>
    </row>
    <row r="16" spans="1:17" x14ac:dyDescent="0.25">
      <c r="B16" s="88">
        <f t="shared" si="0"/>
        <v>16</v>
      </c>
      <c r="C16" t="s">
        <v>382</v>
      </c>
      <c r="D16" s="68">
        <v>862393598</v>
      </c>
      <c r="E16" s="68">
        <f t="shared" si="6"/>
        <v>1845.892511922191</v>
      </c>
      <c r="F16" s="68">
        <v>574929065</v>
      </c>
      <c r="G16" s="68">
        <f t="shared" si="7"/>
        <v>5250.4937442922374</v>
      </c>
      <c r="H16" s="68">
        <v>287464533</v>
      </c>
      <c r="I16" s="68">
        <f>IFERROR(H36/($H$2*12),0)</f>
        <v>84316.625548245618</v>
      </c>
      <c r="J16" s="68"/>
      <c r="K16" s="68"/>
      <c r="L16" s="68"/>
      <c r="M16" s="187">
        <f>+N16/'Fichas técnicas Tecnologías'!$X$3</f>
        <v>4311.9679900000001</v>
      </c>
      <c r="N16" s="72">
        <f>IF('Fichas técnicas Tecnologías'!$X$3&lt;=$H$2*12,H16,IF(AND('Fichas técnicas Tecnologías'!$X$3&gt;$H$2*12,'Fichas técnicas Tecnologías'!$X$3&lt;=$F$2*12),F16,D16))</f>
        <v>862393598</v>
      </c>
      <c r="O16" s="72">
        <f>IF('Fichas técnicas Tecnologías'!$Y$3*Cálculo!$B$130&gt;=$F$2,IF(L16=0,J16+K16/'Fichas técnicas Tecnologías'!$Y$3*Cálculo!$B$130,MIN(L16,J16+K16/'Fichas técnicas Tecnologías'!$Y$3*Cálculo!$B$130)), MIN(L16,J16+K16/'Fichas técnicas Tecnologías'!$Y$3*Cálculo!$B$130))</f>
        <v>0</v>
      </c>
      <c r="P16" s="72">
        <f>IF('Fichas técnicas Tecnologías'!$Y$3&lt;=$H$2*12,H16,IF(AND('Fichas técnicas Tecnologías'!$Y$3&gt;$H$2*12,'Fichas técnicas Tecnologías'!$Y$3&lt;=$F$2*12),F16,D16))</f>
        <v>862393598</v>
      </c>
    </row>
    <row r="17" spans="1:16" x14ac:dyDescent="0.25">
      <c r="B17" s="88">
        <f t="shared" si="0"/>
        <v>17</v>
      </c>
      <c r="C17" t="s">
        <v>383</v>
      </c>
      <c r="D17" s="68"/>
      <c r="E17" s="68"/>
      <c r="F17" s="68"/>
      <c r="G17" s="68"/>
      <c r="H17" s="68"/>
      <c r="I17" s="68"/>
      <c r="J17" s="68"/>
      <c r="K17" s="68"/>
      <c r="L17" s="68"/>
      <c r="N17" s="72">
        <f>SUM(N5:N16)</f>
        <v>21384911603</v>
      </c>
      <c r="P17" s="72">
        <f>SUM(P5:P16)</f>
        <v>21384911603</v>
      </c>
    </row>
    <row r="18" spans="1:16" x14ac:dyDescent="0.25">
      <c r="B18" s="88">
        <f t="shared" si="0"/>
        <v>18</v>
      </c>
      <c r="D18" s="68"/>
      <c r="E18" s="68"/>
      <c r="F18" s="68"/>
      <c r="G18" s="68"/>
      <c r="H18" s="68"/>
      <c r="I18" s="68"/>
      <c r="J18" s="68"/>
      <c r="K18" s="68"/>
      <c r="L18" s="68"/>
      <c r="N18" s="72"/>
      <c r="P18" s="72"/>
    </row>
    <row r="19" spans="1:16" x14ac:dyDescent="0.25">
      <c r="B19" s="88">
        <f t="shared" si="0"/>
        <v>19</v>
      </c>
      <c r="D19" s="68"/>
      <c r="E19" s="68"/>
      <c r="F19" s="68"/>
      <c r="G19" s="68"/>
      <c r="H19" s="68"/>
      <c r="I19" s="68"/>
      <c r="J19" s="68"/>
      <c r="K19" s="68"/>
      <c r="L19" s="68"/>
      <c r="N19" s="72"/>
      <c r="P19" s="72"/>
    </row>
    <row r="20" spans="1:16" x14ac:dyDescent="0.25">
      <c r="B20" s="88">
        <f t="shared" si="0"/>
        <v>20</v>
      </c>
      <c r="D20" s="68"/>
      <c r="E20" s="68"/>
      <c r="F20" s="68"/>
      <c r="G20" s="68"/>
      <c r="H20" s="68"/>
      <c r="I20" s="68"/>
      <c r="J20" s="68"/>
      <c r="K20" s="68"/>
      <c r="L20" s="68"/>
      <c r="N20" s="72"/>
      <c r="P20" s="72"/>
    </row>
    <row r="21" spans="1:16" ht="15" customHeight="1" x14ac:dyDescent="0.25">
      <c r="B21" s="88">
        <f t="shared" si="0"/>
        <v>21</v>
      </c>
      <c r="C21" s="280" t="str">
        <f>+'Fichas técnicas Tecnologías'!A4</f>
        <v>Compostaje en pilas con aireación forzada</v>
      </c>
      <c r="D21" s="280"/>
      <c r="E21" s="280"/>
      <c r="F21" s="280"/>
      <c r="G21" s="280"/>
      <c r="H21" s="280"/>
      <c r="I21" s="280"/>
      <c r="J21" s="280"/>
      <c r="K21" s="280"/>
      <c r="L21" s="74"/>
      <c r="M21" s="287" t="s">
        <v>336</v>
      </c>
      <c r="N21" s="287"/>
      <c r="O21" s="287" t="s">
        <v>337</v>
      </c>
      <c r="P21" s="287"/>
    </row>
    <row r="22" spans="1:16" x14ac:dyDescent="0.25">
      <c r="B22" s="88">
        <f t="shared" si="0"/>
        <v>22</v>
      </c>
      <c r="C22" s="70" t="s">
        <v>338</v>
      </c>
      <c r="D22" s="290">
        <v>38933</v>
      </c>
      <c r="E22" s="290"/>
      <c r="F22" s="290">
        <v>9125</v>
      </c>
      <c r="G22" s="290"/>
      <c r="H22" s="291">
        <v>304</v>
      </c>
      <c r="I22" s="291"/>
      <c r="J22" s="292" t="s">
        <v>339</v>
      </c>
      <c r="K22" s="292"/>
      <c r="L22" s="69"/>
      <c r="M22" s="287"/>
      <c r="N22" s="287"/>
      <c r="O22" s="287"/>
      <c r="P22" s="287"/>
    </row>
    <row r="23" spans="1:16" x14ac:dyDescent="0.25">
      <c r="B23" s="88">
        <f t="shared" si="0"/>
        <v>23</v>
      </c>
      <c r="C23" s="70" t="s">
        <v>367</v>
      </c>
      <c r="D23" s="71" t="s">
        <v>368</v>
      </c>
      <c r="E23" s="71" t="s">
        <v>369</v>
      </c>
      <c r="F23" s="71" t="s">
        <v>368</v>
      </c>
      <c r="G23" s="71" t="s">
        <v>369</v>
      </c>
      <c r="H23" s="71" t="s">
        <v>368</v>
      </c>
      <c r="I23" s="71" t="s">
        <v>369</v>
      </c>
      <c r="J23" s="69" t="s">
        <v>343</v>
      </c>
      <c r="K23" s="69" t="s">
        <v>344</v>
      </c>
      <c r="L23" s="69" t="s">
        <v>345</v>
      </c>
      <c r="M23" s="71" t="s">
        <v>346</v>
      </c>
      <c r="N23" s="69" t="s">
        <v>347</v>
      </c>
      <c r="O23" s="71" t="s">
        <v>346</v>
      </c>
      <c r="P23" s="69" t="s">
        <v>347</v>
      </c>
    </row>
    <row r="24" spans="1:16" x14ac:dyDescent="0.25">
      <c r="A24" s="2" t="str">
        <f>$C$21</f>
        <v>Compostaje en pilas con aireación forzada</v>
      </c>
      <c r="B24" s="88">
        <f t="shared" si="0"/>
        <v>24</v>
      </c>
      <c r="C24" t="s">
        <v>370</v>
      </c>
      <c r="D24" s="68"/>
      <c r="E24" s="68"/>
      <c r="F24" s="68"/>
      <c r="G24" s="68"/>
      <c r="H24" s="68"/>
      <c r="I24" s="68"/>
      <c r="J24" s="68"/>
      <c r="K24" s="68"/>
      <c r="L24" s="68"/>
      <c r="N24" s="72"/>
      <c r="P24" s="72"/>
    </row>
    <row r="25" spans="1:16" x14ac:dyDescent="0.25">
      <c r="B25" s="88">
        <f t="shared" si="0"/>
        <v>25</v>
      </c>
      <c r="C25" t="s">
        <v>371</v>
      </c>
      <c r="D25" s="68">
        <f>+(D27+SUM(D29:D37))*5%</f>
        <v>2427296925.5</v>
      </c>
      <c r="E25" s="68">
        <f>+D25/($D$22*12)</f>
        <v>5195.4574215104585</v>
      </c>
      <c r="F25" s="68">
        <f>+(F27+SUM(F29:F37))*5%</f>
        <v>629035140.39999998</v>
      </c>
      <c r="G25" s="68">
        <f>+F25/($F$22*12)</f>
        <v>5744.6131543378997</v>
      </c>
      <c r="H25" s="68">
        <v>46485062</v>
      </c>
      <c r="I25" s="68">
        <f>IFERROR(H25/($H$22*12),0)</f>
        <v>12742.615679824561</v>
      </c>
      <c r="J25" s="68">
        <f t="shared" ref="J25:J26" si="9">+E25</f>
        <v>5195.4574215104585</v>
      </c>
      <c r="K25" s="68">
        <f t="shared" ref="K25:K26" si="10">+G25</f>
        <v>5744.6131543378997</v>
      </c>
      <c r="L25" s="68">
        <f t="shared" ref="L25" si="11">+MAX(E25,G25,I25)</f>
        <v>12742.615679824561</v>
      </c>
      <c r="M25" s="77">
        <f>+IF('Fichas técnicas Tecnologías'!$X$3&lt;=$H$2*12,I25,IF(AND('Fichas técnicas Tecnologías'!$X$3&gt;$H$2*12,'Fichas técnicas Tecnologías'!$X$3&lt;=$F$2*12),G25,E25))</f>
        <v>5195.4574215104585</v>
      </c>
      <c r="N25" s="72">
        <f>ROUND('Fichas técnicas Tecnologías'!$X$4*M25,-6)</f>
        <v>1039000000</v>
      </c>
      <c r="O25" s="77">
        <f>+IF('Fichas técnicas Tecnologías'!$Y$3&lt;=$H$2*12,I25,IF(AND('Fichas técnicas Tecnologías'!$Y$3&gt;$H$2*12,'Fichas técnicas Tecnologías'!$Y$3&lt;=$F$2*12),G25,E25))</f>
        <v>5195.4574215104585</v>
      </c>
      <c r="P25" s="72">
        <f>IFERROR(ROUND('Fichas técnicas Tecnologías'!$Y$4*O25,-6),"Se debe indicar cantidades en los datos de entrada")</f>
        <v>1039000000</v>
      </c>
    </row>
    <row r="26" spans="1:16" x14ac:dyDescent="0.25">
      <c r="B26" s="88">
        <f t="shared" si="0"/>
        <v>26</v>
      </c>
      <c r="C26" t="s">
        <v>372</v>
      </c>
      <c r="D26" s="68">
        <v>200000000</v>
      </c>
      <c r="E26" s="68">
        <f>+D26/($D$22*12)</f>
        <v>428.08585689945977</v>
      </c>
      <c r="F26" s="68">
        <v>171321440</v>
      </c>
      <c r="G26" s="68">
        <f>+F26/($F$22*12)</f>
        <v>1564.5793607305936</v>
      </c>
      <c r="H26" s="68">
        <v>23242531</v>
      </c>
      <c r="I26" s="68">
        <f>IFERROR(H26/($H$22*12),0)</f>
        <v>6371.3078399122805</v>
      </c>
      <c r="J26" s="68">
        <f t="shared" si="9"/>
        <v>428.08585689945977</v>
      </c>
      <c r="K26" s="68">
        <f t="shared" si="10"/>
        <v>1564.5793607305936</v>
      </c>
      <c r="L26" s="68">
        <f t="shared" ref="L26" si="12">+MAX(E26,G26,I26)</f>
        <v>6371.3078399122805</v>
      </c>
      <c r="M26" s="77">
        <f>+IF('Fichas técnicas Tecnologías'!$X$3&lt;=$H$2*12,I26,IF(AND('Fichas técnicas Tecnologías'!$X$3&gt;$H$2*12,'Fichas técnicas Tecnologías'!$X$3&lt;=$F$2*12),G26,E26))</f>
        <v>428.08585689945977</v>
      </c>
      <c r="N26" s="72">
        <f>ROUND('Fichas técnicas Tecnologías'!$X$4*M26,-6)</f>
        <v>86000000</v>
      </c>
      <c r="O26" s="77">
        <f>+IF('Fichas técnicas Tecnologías'!$Y$3&lt;=$H$2*12,I26,IF(AND('Fichas técnicas Tecnologías'!$Y$3&gt;$H$2*12,'Fichas técnicas Tecnologías'!$Y$3&lt;=$F$2*12),G26,E26))</f>
        <v>428.08585689945977</v>
      </c>
      <c r="P26" s="72">
        <f>IFERROR(ROUND('Fichas técnicas Tecnologías'!$Y$4*O26,-6),"Se debe indicar cantidades en los datos de entrada")</f>
        <v>86000000</v>
      </c>
    </row>
    <row r="27" spans="1:16" x14ac:dyDescent="0.25">
      <c r="B27" s="88">
        <f t="shared" si="0"/>
        <v>27</v>
      </c>
      <c r="C27" t="s">
        <v>373</v>
      </c>
      <c r="D27" s="68">
        <v>43546869601</v>
      </c>
      <c r="E27" s="68">
        <f t="shared" ref="E27" si="13">+D27/($D$22*12)</f>
        <v>93208.994942165606</v>
      </c>
      <c r="F27" s="68">
        <v>10206297563</v>
      </c>
      <c r="G27" s="68">
        <f t="shared" ref="G27" si="14">+F27/($F$22*12)</f>
        <v>93208.196922374424</v>
      </c>
      <c r="H27" s="68">
        <v>340209919</v>
      </c>
      <c r="I27" s="68">
        <f t="shared" ref="I27" si="15">IFERROR(H27/($H$22*12),0)</f>
        <v>93259.297971491222</v>
      </c>
      <c r="J27" s="68">
        <f t="shared" ref="J27" si="16">+E27</f>
        <v>93208.994942165606</v>
      </c>
      <c r="K27" s="68">
        <f t="shared" ref="K27" si="17">+G27</f>
        <v>93208.196922374424</v>
      </c>
      <c r="L27" s="68">
        <f t="shared" ref="L27" si="18">+MAX(E27,G27,I27)</f>
        <v>93259.297971491222</v>
      </c>
      <c r="M27" s="77">
        <f>+IF('Fichas técnicas Tecnologías'!$X$3&lt;=$H$2*12,I27,IF(AND('Fichas técnicas Tecnologías'!$X$3&gt;$H$2*12,'Fichas técnicas Tecnologías'!$X$3&lt;=$F$2*12),G27,E27))</f>
        <v>93208.994942165606</v>
      </c>
      <c r="N27" s="72">
        <f>ROUND('Fichas técnicas Tecnologías'!$X$4*M27,-6)</f>
        <v>18642000000</v>
      </c>
      <c r="O27" s="77">
        <f>+IF('Fichas técnicas Tecnologías'!$Y$3&lt;=$H$2*12,I27,IF(AND('Fichas técnicas Tecnologías'!$Y$3&gt;$H$2*12,'Fichas técnicas Tecnologías'!$Y$3&lt;=$F$2*12),G27,E27))</f>
        <v>93208.994942165606</v>
      </c>
      <c r="P27" s="72">
        <f>IFERROR(ROUND('Fichas técnicas Tecnologías'!$Y$4*O27,-6),"Se debe indicar cantidades en los datos de entrada")</f>
        <v>18642000000</v>
      </c>
    </row>
    <row r="28" spans="1:16" x14ac:dyDescent="0.25">
      <c r="B28" s="88">
        <f t="shared" si="0"/>
        <v>28</v>
      </c>
      <c r="C28" t="s">
        <v>374</v>
      </c>
      <c r="D28" s="68"/>
      <c r="E28" s="68"/>
      <c r="F28" s="68"/>
      <c r="G28" s="68"/>
      <c r="H28" s="68"/>
      <c r="I28" s="68"/>
      <c r="J28" s="68"/>
      <c r="K28" s="68"/>
      <c r="L28" s="68"/>
      <c r="N28" s="72"/>
      <c r="P28" s="72"/>
    </row>
    <row r="29" spans="1:16" x14ac:dyDescent="0.25">
      <c r="B29" s="88">
        <f t="shared" si="0"/>
        <v>29</v>
      </c>
      <c r="C29" t="s">
        <v>375</v>
      </c>
      <c r="D29" s="68">
        <v>1440055457</v>
      </c>
      <c r="E29" s="68">
        <f t="shared" ref="E29:E37" si="19">+D29/($D$22*12)</f>
        <v>3082.3368714629405</v>
      </c>
      <c r="F29" s="68">
        <v>360013864</v>
      </c>
      <c r="G29" s="68">
        <f t="shared" ref="G29:G37" si="20">+F29/($F$22*12)</f>
        <v>3287.7978447488586</v>
      </c>
      <c r="H29" s="68">
        <v>180006932</v>
      </c>
      <c r="I29" s="68">
        <f>IFERROR(H29/($H$22*12),0)</f>
        <v>49344.005482456138</v>
      </c>
      <c r="J29" s="68">
        <f>+E29</f>
        <v>3082.3368714629405</v>
      </c>
      <c r="K29" s="68">
        <f>+G29</f>
        <v>3287.7978447488586</v>
      </c>
      <c r="L29" s="68">
        <f t="shared" ref="L29" si="21">+MAX(E29,G29,I29)</f>
        <v>49344.005482456138</v>
      </c>
      <c r="M29" s="77">
        <f>+IF('Fichas técnicas Tecnologías'!$X$3&lt;=$H$2*12,I29,IF(AND('Fichas técnicas Tecnologías'!$X$3&gt;$H$2*12,'Fichas técnicas Tecnologías'!$X$3&lt;=$F$2*12),G29,E29))</f>
        <v>3082.3368714629405</v>
      </c>
      <c r="N29" s="72">
        <f>ROUND('Fichas técnicas Tecnologías'!$X$4*M29,-6)</f>
        <v>616000000</v>
      </c>
      <c r="O29" s="77">
        <f>+IF('Fichas técnicas Tecnologías'!$Y$3&lt;=$H$2*12,I29,IF(AND('Fichas técnicas Tecnologías'!$Y$3&gt;$H$2*12,'Fichas técnicas Tecnologías'!$Y$3&lt;=$F$2*12),G29,E29))</f>
        <v>3082.3368714629405</v>
      </c>
      <c r="P29" s="72">
        <f>IFERROR(ROUND('Fichas técnicas Tecnologías'!$Y$4*O29,-6),"Se debe indicar cantidades en los datos de entrada")</f>
        <v>616000000</v>
      </c>
    </row>
    <row r="30" spans="1:16" x14ac:dyDescent="0.25">
      <c r="B30" s="88">
        <f t="shared" si="0"/>
        <v>30</v>
      </c>
      <c r="C30" t="s">
        <v>376</v>
      </c>
      <c r="D30" s="68">
        <v>522897985</v>
      </c>
      <c r="E30" s="68">
        <f t="shared" si="19"/>
        <v>1119.2261598986292</v>
      </c>
      <c r="F30" s="68">
        <v>261448992</v>
      </c>
      <c r="G30" s="68">
        <f t="shared" si="20"/>
        <v>2387.6620273972603</v>
      </c>
      <c r="H30" s="68">
        <v>261448992</v>
      </c>
      <c r="I30" s="68">
        <f>IFERROR(H30/($H$22*12),0)</f>
        <v>71669.131578947374</v>
      </c>
      <c r="J30" s="68"/>
      <c r="K30" s="68"/>
      <c r="L30" s="68"/>
      <c r="M30" s="187">
        <f>+N30/'Fichas técnicas Tecnologías'!$X$4</f>
        <v>2614.4899249999999</v>
      </c>
      <c r="N30" s="72">
        <f>IF('Fichas técnicas Tecnologías'!$X$4&lt;=$H$22*12,H30,IF(AND('Fichas técnicas Tecnologías'!$X$4&gt;$H$22*12,'Fichas técnicas Tecnologías'!$X$4&lt;=$F$22*12),F30,D30))</f>
        <v>522897985</v>
      </c>
      <c r="O30" s="72">
        <f>IF('Fichas técnicas Tecnologías'!$Y$4*Cálculo!$B$130&gt;=$F$22,IF(L30=0,J30+K30/'Fichas técnicas Tecnologías'!$Y$4*Cálculo!$B$130,MIN(L30,J30+K30/'Fichas técnicas Tecnologías'!$Y$4*Cálculo!$B$130)), MIN(L30,J30+K30/'Fichas técnicas Tecnologías'!$Y$4*Cálculo!$B$130))</f>
        <v>0</v>
      </c>
      <c r="P30" s="72">
        <f>IF('Fichas técnicas Tecnologías'!$Y$3&lt;=$H$2*12,H30,IF(AND('Fichas técnicas Tecnologías'!$Y$3&gt;$H$2*12,'Fichas técnicas Tecnologías'!$Y$3&lt;=$F$2*12),F30,D30))</f>
        <v>522897985</v>
      </c>
    </row>
    <row r="31" spans="1:16" x14ac:dyDescent="0.25">
      <c r="B31" s="88">
        <f t="shared" si="0"/>
        <v>31</v>
      </c>
      <c r="C31" t="s">
        <v>377</v>
      </c>
      <c r="D31" s="68">
        <v>522897985</v>
      </c>
      <c r="E31" s="68">
        <f t="shared" si="19"/>
        <v>1119.2261598986292</v>
      </c>
      <c r="F31" s="68">
        <v>261448992</v>
      </c>
      <c r="G31" s="68">
        <f t="shared" si="20"/>
        <v>2387.6620273972603</v>
      </c>
      <c r="H31" s="68" t="s">
        <v>384</v>
      </c>
      <c r="I31" s="68">
        <f>IFERROR(H31/($H$22*Cálculo!$B$130),0)</f>
        <v>0</v>
      </c>
      <c r="J31" s="68"/>
      <c r="K31" s="68"/>
      <c r="L31" s="68"/>
      <c r="M31" s="187">
        <f>+N31/'Fichas técnicas Tecnologías'!$X$4</f>
        <v>2614.4899249999999</v>
      </c>
      <c r="N31" s="72">
        <f>IF('Fichas técnicas Tecnologías'!$X$4&lt;=$H$22*12,H31,IF(AND('Fichas técnicas Tecnologías'!$X$4&gt;$H$22*12,'Fichas técnicas Tecnologías'!$X$4&lt;=$F$22*12),F31,D31))</f>
        <v>522897985</v>
      </c>
      <c r="O31" s="72">
        <f>IF('Fichas técnicas Tecnologías'!$Y$4*Cálculo!$B$130&gt;=$F$22,IF(L31=0,J31+K31/'Fichas técnicas Tecnologías'!$Y$4*Cálculo!$B$130,MIN(L31,J31+K31/'Fichas técnicas Tecnologías'!$Y$4*Cálculo!$B$130)), MIN(L31,J31+K31/'Fichas técnicas Tecnologías'!$Y$4*Cálculo!$B$130))</f>
        <v>0</v>
      </c>
      <c r="P31" s="72">
        <f>IF('Fichas técnicas Tecnologías'!$Y$3&lt;=$H$2*12,H31,IF(AND('Fichas técnicas Tecnologías'!$Y$3&gt;$H$2*12,'Fichas técnicas Tecnologías'!$Y$3&lt;=$F$2*12),F31,D31))</f>
        <v>522897985</v>
      </c>
    </row>
    <row r="32" spans="1:16" x14ac:dyDescent="0.25">
      <c r="B32" s="88">
        <f t="shared" si="0"/>
        <v>32</v>
      </c>
      <c r="C32" t="s">
        <v>378</v>
      </c>
      <c r="D32" s="68">
        <v>455788083</v>
      </c>
      <c r="E32" s="68">
        <f t="shared" si="19"/>
        <v>975.5821603780854</v>
      </c>
      <c r="F32" s="68">
        <v>227894041</v>
      </c>
      <c r="G32" s="68">
        <f t="shared" si="20"/>
        <v>2081.2241187214613</v>
      </c>
      <c r="H32" s="68" t="s">
        <v>384</v>
      </c>
      <c r="I32" s="68">
        <f>IFERROR(H32/($H$22*Cálculo!$B$130),0)</f>
        <v>0</v>
      </c>
      <c r="J32" s="68"/>
      <c r="K32" s="68"/>
      <c r="L32" s="68"/>
      <c r="M32" s="187">
        <f>+N32/'Fichas técnicas Tecnologías'!$X$4</f>
        <v>2278.940415</v>
      </c>
      <c r="N32" s="72">
        <f>IF('Fichas técnicas Tecnologías'!$X$4&lt;=$H$22*12,H32,IF(AND('Fichas técnicas Tecnologías'!$X$4&gt;$H$22*12,'Fichas técnicas Tecnologías'!$X$4&lt;=$F$22*12),F32,D32))</f>
        <v>455788083</v>
      </c>
      <c r="O32" s="72">
        <f>IF('Fichas técnicas Tecnologías'!$Y$4*Cálculo!$B$130&gt;=$F$22,IF(L32=0,J32+K32/'Fichas técnicas Tecnologías'!$Y$4*Cálculo!$B$130,MIN(L32,J32+K32/'Fichas técnicas Tecnologías'!$Y$4*Cálculo!$B$130)), MIN(L32,J32+K32/'Fichas técnicas Tecnologías'!$Y$4*Cálculo!$B$130))</f>
        <v>0</v>
      </c>
      <c r="P32" s="72">
        <f>IF('Fichas técnicas Tecnologías'!$Y$3&lt;=$H$2*12,H32,IF(AND('Fichas técnicas Tecnologías'!$Y$3&gt;$H$2*12,'Fichas técnicas Tecnologías'!$Y$3&lt;=$F$2*12),F32,D32))</f>
        <v>455788083</v>
      </c>
    </row>
    <row r="33" spans="1:16" x14ac:dyDescent="0.25">
      <c r="B33" s="88">
        <f t="shared" si="0"/>
        <v>33</v>
      </c>
      <c r="C33" t="s">
        <v>379</v>
      </c>
      <c r="D33" s="68">
        <v>162182263</v>
      </c>
      <c r="E33" s="68">
        <f t="shared" si="19"/>
        <v>347.13966515124275</v>
      </c>
      <c r="F33" s="68">
        <v>162182263</v>
      </c>
      <c r="G33" s="68">
        <f t="shared" si="20"/>
        <v>1481.1165570776257</v>
      </c>
      <c r="H33" s="68" t="s">
        <v>384</v>
      </c>
      <c r="I33" s="68">
        <f>IFERROR(H33/($H$22*Cálculo!$B$130),0)</f>
        <v>0</v>
      </c>
      <c r="J33" s="68"/>
      <c r="K33" s="68"/>
      <c r="L33" s="68"/>
      <c r="M33" s="187">
        <f>+N33/'Fichas técnicas Tecnologías'!$X$4</f>
        <v>810.91131499999995</v>
      </c>
      <c r="N33" s="72">
        <f>IF('Fichas técnicas Tecnologías'!$X$4&lt;=$H$22*12,H33,IF(AND('Fichas técnicas Tecnologías'!$X$4&gt;$H$22*12,'Fichas técnicas Tecnologías'!$X$4&lt;=$F$22*12),F33,D33))</f>
        <v>162182263</v>
      </c>
      <c r="O33" s="72">
        <f>IF('Fichas técnicas Tecnologías'!$Y$4*Cálculo!$B$130&gt;=$F$22,IF(L33=0,J33+K33/'Fichas técnicas Tecnologías'!$Y$4*Cálculo!$B$130,MIN(L33,J33+K33/'Fichas técnicas Tecnologías'!$Y$4*Cálculo!$B$130)), MIN(L33,J33+K33/'Fichas técnicas Tecnologías'!$Y$4*Cálculo!$B$130))</f>
        <v>0</v>
      </c>
      <c r="P33" s="72">
        <f>IF('Fichas técnicas Tecnologías'!$Y$3&lt;=$H$2*12,H33,IF(AND('Fichas técnicas Tecnologías'!$Y$3&gt;$H$2*12,'Fichas técnicas Tecnologías'!$Y$3&lt;=$F$2*12),F33,D33))</f>
        <v>162182263</v>
      </c>
    </row>
    <row r="34" spans="1:16" x14ac:dyDescent="0.25">
      <c r="B34" s="88">
        <f t="shared" si="0"/>
        <v>34</v>
      </c>
      <c r="C34" t="s">
        <v>380</v>
      </c>
      <c r="D34" s="68">
        <f>153793525*4</f>
        <v>615174100</v>
      </c>
      <c r="E34" s="68">
        <f t="shared" si="19"/>
        <v>1316.7366587042698</v>
      </c>
      <c r="F34" s="68">
        <f>153793525*2</f>
        <v>307587050</v>
      </c>
      <c r="G34" s="68">
        <f t="shared" si="20"/>
        <v>2809.0141552511413</v>
      </c>
      <c r="H34" s="68">
        <v>153793525</v>
      </c>
      <c r="I34" s="68">
        <f t="shared" ref="I34:I36" si="22">IFERROR(H34/($H$22*12),0)</f>
        <v>42158.312774122809</v>
      </c>
      <c r="J34" s="68"/>
      <c r="K34" s="68"/>
      <c r="L34" s="68"/>
      <c r="M34" s="187">
        <f>+N34/'Fichas técnicas Tecnologías'!$X$4</f>
        <v>3075.8705</v>
      </c>
      <c r="N34" s="72">
        <f>IF('Fichas técnicas Tecnologías'!$X$4&lt;=$H$22*12,H34,IF(AND('Fichas técnicas Tecnologías'!$X$4&gt;$H$22*12,'Fichas técnicas Tecnologías'!$X$4&lt;=$F$22*12),F34,D34))</f>
        <v>615174100</v>
      </c>
      <c r="O34" s="72">
        <f>IF('Fichas técnicas Tecnologías'!$Y$4*Cálculo!$B$130&gt;=$F$22,IF(L34=0,J34+K34/'Fichas técnicas Tecnologías'!$Y$4*Cálculo!$B$130,MIN(L34,J34+K34/'Fichas técnicas Tecnologías'!$Y$4*Cálculo!$B$130)), MIN(L34,J34+K34/'Fichas técnicas Tecnologías'!$Y$4*Cálculo!$B$130))</f>
        <v>0</v>
      </c>
      <c r="P34" s="72">
        <f>IF('Fichas técnicas Tecnologías'!$Y$3&lt;=$H$2*12,H34,IF(AND('Fichas técnicas Tecnologías'!$Y$3&gt;$H$2*12,'Fichas técnicas Tecnologías'!$Y$3&lt;=$F$2*12),F34,D34))</f>
        <v>615174100</v>
      </c>
    </row>
    <row r="35" spans="1:16" x14ac:dyDescent="0.25">
      <c r="B35" s="88">
        <f t="shared" si="0"/>
        <v>35</v>
      </c>
      <c r="C35" t="s">
        <v>381</v>
      </c>
      <c r="D35" s="68">
        <f>37749320*4</f>
        <v>150997280</v>
      </c>
      <c r="E35" s="68">
        <f t="shared" si="19"/>
        <v>323.19899999143826</v>
      </c>
      <c r="F35" s="68">
        <f>37749320*2</f>
        <v>75498640</v>
      </c>
      <c r="G35" s="68">
        <f t="shared" si="20"/>
        <v>689.485296803653</v>
      </c>
      <c r="H35" s="68">
        <v>37749320</v>
      </c>
      <c r="I35" s="68">
        <f t="shared" si="22"/>
        <v>10347.94956140351</v>
      </c>
      <c r="J35" s="68"/>
      <c r="K35" s="68"/>
      <c r="L35" s="68"/>
      <c r="M35" s="187">
        <f>+N35/'Fichas técnicas Tecnologías'!$X$4</f>
        <v>754.9864</v>
      </c>
      <c r="N35" s="72">
        <f>IF('Fichas técnicas Tecnologías'!$X$4&lt;=$H$22*12,H35,IF(AND('Fichas técnicas Tecnologías'!$X$4&gt;$H$22*12,'Fichas técnicas Tecnologías'!$X$4&lt;=$F$22*12),F35,D35))</f>
        <v>150997280</v>
      </c>
      <c r="O35" s="72">
        <f>IF('Fichas técnicas Tecnologías'!$Y$4*Cálculo!$B$130&gt;=$F$22,IF(L35=0,J35+K35/'Fichas técnicas Tecnologías'!$Y$4*Cálculo!$B$130,MIN(L35,J35+K35/'Fichas técnicas Tecnologías'!$Y$4*Cálculo!$B$130)), MIN(L35,J35+K35/'Fichas técnicas Tecnologías'!$Y$4*Cálculo!$B$130))</f>
        <v>0</v>
      </c>
      <c r="P35" s="72">
        <f>IF('Fichas técnicas Tecnologías'!$Y$3&lt;=$H$2*12,H35,IF(AND('Fichas técnicas Tecnologías'!$Y$3&gt;$H$2*12,'Fichas técnicas Tecnologías'!$Y$3&lt;=$F$2*12),F35,D35))</f>
        <v>150997280</v>
      </c>
    </row>
    <row r="36" spans="1:16" x14ac:dyDescent="0.25">
      <c r="B36" s="88">
        <f t="shared" si="0"/>
        <v>36</v>
      </c>
      <c r="C36" t="s">
        <v>382</v>
      </c>
      <c r="D36" s="68">
        <v>922761150</v>
      </c>
      <c r="E36" s="68">
        <f t="shared" si="19"/>
        <v>1975.1049880564046</v>
      </c>
      <c r="F36" s="68">
        <v>615174100</v>
      </c>
      <c r="G36" s="68">
        <f t="shared" si="20"/>
        <v>5618.0283105022827</v>
      </c>
      <c r="H36" s="68">
        <v>307587050</v>
      </c>
      <c r="I36" s="68">
        <f t="shared" si="22"/>
        <v>84316.625548245618</v>
      </c>
      <c r="J36" s="68"/>
      <c r="K36" s="68"/>
      <c r="L36" s="68"/>
      <c r="M36" s="187">
        <f>+N36/'Fichas técnicas Tecnologías'!$X$4</f>
        <v>4613.8057500000004</v>
      </c>
      <c r="N36" s="72">
        <f>IF('Fichas técnicas Tecnologías'!$X$4&lt;=$H$22*12,H36,IF(AND('Fichas técnicas Tecnologías'!$X$4&gt;$H$22*12,'Fichas técnicas Tecnologías'!$X$4&lt;=$F$22*12),F36,D36))</f>
        <v>922761150</v>
      </c>
      <c r="O36" s="72">
        <f>IF('Fichas técnicas Tecnologías'!$Y$4*Cálculo!$B$130&gt;=$F$22,IF(L36=0,J36+K36/'Fichas técnicas Tecnologías'!$Y$4*Cálculo!$B$130,MIN(L36,J36+K36/'Fichas técnicas Tecnologías'!$Y$4*Cálculo!$B$130)), MIN(L36,J36+K36/'Fichas técnicas Tecnologías'!$Y$4*Cálculo!$B$130))</f>
        <v>0</v>
      </c>
      <c r="P36" s="72">
        <f>IF('Fichas técnicas Tecnologías'!$Y$3&lt;=$H$2*12,H36,IF(AND('Fichas técnicas Tecnologías'!$Y$3&gt;$H$2*12,'Fichas técnicas Tecnologías'!$Y$3&lt;=$F$2*12),F36,D36))</f>
        <v>922761150</v>
      </c>
    </row>
    <row r="37" spans="1:16" x14ac:dyDescent="0.25">
      <c r="B37" s="88">
        <f t="shared" si="0"/>
        <v>37</v>
      </c>
      <c r="C37" t="s">
        <v>385</v>
      </c>
      <c r="D37" s="68">
        <v>206314606</v>
      </c>
      <c r="E37" s="68">
        <f t="shared" si="19"/>
        <v>441.60182450192212</v>
      </c>
      <c r="F37" s="68">
        <v>103157303</v>
      </c>
      <c r="G37" s="68">
        <f t="shared" si="20"/>
        <v>942.07582648401831</v>
      </c>
      <c r="H37" s="68" t="s">
        <v>384</v>
      </c>
      <c r="I37" s="68">
        <f>IFERROR(H37/($H$22*Cálculo!$B$130),0)</f>
        <v>0</v>
      </c>
      <c r="J37" s="68"/>
      <c r="K37" s="68"/>
      <c r="L37" s="68"/>
      <c r="M37" s="187">
        <f>+N37/'Fichas técnicas Tecnologías'!$X$4</f>
        <v>1031.57303</v>
      </c>
      <c r="N37" s="72">
        <f>IF('Fichas técnicas Tecnologías'!$X$4&lt;=$H$22*12,H37,IF(AND('Fichas técnicas Tecnologías'!$X$4&gt;$H$22*12,'Fichas técnicas Tecnologías'!$X$4&lt;=$F$22*12),F37,D37))</f>
        <v>206314606</v>
      </c>
      <c r="O37" s="72">
        <f>IF('Fichas técnicas Tecnologías'!$Y$4*Cálculo!$B$130&gt;=$F$22,IF(L37=0,J37+K37/'Fichas técnicas Tecnologías'!$Y$4*Cálculo!$B$130,MIN(L37,J37+K37/'Fichas técnicas Tecnologías'!$Y$4*Cálculo!$B$130)), MIN(L37,J37+K37/'Fichas técnicas Tecnologías'!$Y$4*Cálculo!$B$130))</f>
        <v>0</v>
      </c>
      <c r="P37" s="72">
        <f>IF('Fichas técnicas Tecnologías'!$Y$3&lt;=$H$2*12,H37,IF(AND('Fichas técnicas Tecnologías'!$Y$3&gt;$H$2*12,'Fichas técnicas Tecnologías'!$Y$3&lt;=$F$2*12),F37,D37))</f>
        <v>206314606</v>
      </c>
    </row>
    <row r="38" spans="1:16" x14ac:dyDescent="0.25">
      <c r="B38" s="88">
        <f t="shared" si="0"/>
        <v>38</v>
      </c>
      <c r="C38" t="s">
        <v>383</v>
      </c>
      <c r="D38" s="68"/>
      <c r="E38" s="68">
        <f>+D38/($D$22*Cálculo!$B$130)</f>
        <v>0</v>
      </c>
      <c r="F38" s="68"/>
      <c r="G38" s="68"/>
      <c r="H38" s="68"/>
      <c r="I38" s="68"/>
      <c r="J38" s="68"/>
      <c r="K38" s="68"/>
      <c r="L38" s="68"/>
      <c r="N38" s="72">
        <f>SUM(N25:N37)</f>
        <v>23942013452</v>
      </c>
      <c r="P38" s="72">
        <f>SUM(P25:P37)</f>
        <v>23942013452</v>
      </c>
    </row>
    <row r="39" spans="1:16" x14ac:dyDescent="0.25">
      <c r="B39" s="88">
        <f t="shared" si="0"/>
        <v>39</v>
      </c>
      <c r="D39" s="158">
        <f>+(D25/(D27+SUM(D29:D37)))</f>
        <v>0.05</v>
      </c>
      <c r="E39" s="68"/>
      <c r="F39" s="158">
        <f>+(F25/(F27+SUM(F29:F37)))</f>
        <v>4.9999999999999996E-2</v>
      </c>
      <c r="G39" s="68"/>
      <c r="H39" s="158">
        <f>+(H25/(H27+SUM(H29:H37)))</f>
        <v>3.6293891852410269E-2</v>
      </c>
      <c r="I39" s="68"/>
      <c r="J39" s="68"/>
      <c r="K39" s="68"/>
      <c r="L39" s="68"/>
      <c r="N39" s="72"/>
      <c r="P39" s="72"/>
    </row>
    <row r="40" spans="1:16" ht="15" customHeight="1" x14ac:dyDescent="0.25">
      <c r="B40" s="88">
        <f t="shared" si="0"/>
        <v>40</v>
      </c>
      <c r="C40" s="280" t="str">
        <f>+'Fichas técnicas Tecnologías'!A5</f>
        <v>Compostaje cerrado o "In vessel"</v>
      </c>
      <c r="D40" s="280"/>
      <c r="E40" s="280"/>
      <c r="F40" s="280"/>
      <c r="G40" s="280"/>
      <c r="H40" s="280"/>
      <c r="I40" s="280"/>
      <c r="J40" s="280"/>
      <c r="K40" s="280"/>
      <c r="L40" s="74"/>
      <c r="M40" s="287" t="s">
        <v>336</v>
      </c>
      <c r="N40" s="287"/>
      <c r="O40" s="287" t="s">
        <v>337</v>
      </c>
      <c r="P40" s="287"/>
    </row>
    <row r="41" spans="1:16" x14ac:dyDescent="0.25">
      <c r="B41" s="88">
        <f t="shared" si="0"/>
        <v>41</v>
      </c>
      <c r="C41" s="70" t="s">
        <v>338</v>
      </c>
      <c r="D41" s="290">
        <v>38933</v>
      </c>
      <c r="E41" s="290"/>
      <c r="F41" s="290">
        <v>9125</v>
      </c>
      <c r="G41" s="290"/>
      <c r="H41" s="291">
        <v>304</v>
      </c>
      <c r="I41" s="291"/>
      <c r="J41" s="292" t="s">
        <v>339</v>
      </c>
      <c r="K41" s="292"/>
      <c r="L41" s="69"/>
      <c r="M41" s="287"/>
      <c r="N41" s="287"/>
      <c r="O41" s="287"/>
      <c r="P41" s="287"/>
    </row>
    <row r="42" spans="1:16" x14ac:dyDescent="0.25">
      <c r="B42" s="88">
        <f t="shared" si="0"/>
        <v>42</v>
      </c>
      <c r="C42" s="70" t="s">
        <v>367</v>
      </c>
      <c r="D42" s="71" t="s">
        <v>368</v>
      </c>
      <c r="E42" s="71" t="s">
        <v>369</v>
      </c>
      <c r="F42" s="71" t="s">
        <v>368</v>
      </c>
      <c r="G42" s="71" t="s">
        <v>369</v>
      </c>
      <c r="H42" s="71" t="s">
        <v>368</v>
      </c>
      <c r="I42" s="71" t="s">
        <v>369</v>
      </c>
      <c r="J42" s="69" t="s">
        <v>343</v>
      </c>
      <c r="K42" s="69" t="s">
        <v>344</v>
      </c>
      <c r="L42" s="69" t="s">
        <v>345</v>
      </c>
      <c r="M42" s="71" t="s">
        <v>346</v>
      </c>
      <c r="N42" s="69" t="s">
        <v>347</v>
      </c>
      <c r="O42" s="71" t="s">
        <v>346</v>
      </c>
      <c r="P42" s="69" t="s">
        <v>347</v>
      </c>
    </row>
    <row r="43" spans="1:16" x14ac:dyDescent="0.25">
      <c r="A43" s="2" t="str">
        <f>$C$40</f>
        <v>Compostaje cerrado o "In vessel"</v>
      </c>
      <c r="B43" s="88">
        <f t="shared" si="0"/>
        <v>43</v>
      </c>
      <c r="C43" t="s">
        <v>370</v>
      </c>
      <c r="D43" s="68"/>
      <c r="E43" s="68"/>
      <c r="F43" s="75"/>
      <c r="N43" s="73"/>
      <c r="P43" s="73"/>
    </row>
    <row r="44" spans="1:16" x14ac:dyDescent="0.25">
      <c r="B44" s="88">
        <f t="shared" si="0"/>
        <v>44</v>
      </c>
      <c r="C44" t="s">
        <v>371</v>
      </c>
      <c r="D44" s="68">
        <f>+(D46+SUM(D48:D57))*5%</f>
        <v>2398565498.75</v>
      </c>
      <c r="E44" s="68">
        <f>+D44/($D$41*12)</f>
        <v>5133.9598343093694</v>
      </c>
      <c r="F44" s="68">
        <f>+(F46+SUM(F48:F57))*5%</f>
        <v>619457998.14999998</v>
      </c>
      <c r="G44" s="68">
        <f>+F44/($F$41*12)</f>
        <v>5657.1506680365292</v>
      </c>
      <c r="H44" s="68">
        <f>+(H46+SUM(H48:H57))*5%</f>
        <v>64039786.900000006</v>
      </c>
      <c r="I44" s="68">
        <f>+H44/($H$41*12)</f>
        <v>17554.766145833335</v>
      </c>
      <c r="J44" s="68">
        <f t="shared" ref="J44:J45" si="23">+E44</f>
        <v>5133.9598343093694</v>
      </c>
      <c r="K44" s="68">
        <f t="shared" ref="K44:K45" si="24">+G44</f>
        <v>5657.1506680365292</v>
      </c>
      <c r="L44" s="68">
        <f t="shared" ref="L44" si="25">+MAX(E44,G44,I44)</f>
        <v>17554.766145833335</v>
      </c>
      <c r="M44" s="77">
        <f>+IF('Fichas técnicas Tecnologías'!$X$3&lt;=$H$2*12,I44,IF(AND('Fichas técnicas Tecnologías'!$X$3&gt;$H$2*12,'Fichas técnicas Tecnologías'!$X$3&lt;=$F$2*12),G44,E44))</f>
        <v>5133.9598343093694</v>
      </c>
      <c r="N44" s="72">
        <f>ROUND('Fichas técnicas Tecnologías'!$X$5*M44,-6)</f>
        <v>1540000000</v>
      </c>
      <c r="P44" s="72"/>
    </row>
    <row r="45" spans="1:16" x14ac:dyDescent="0.25">
      <c r="B45" s="88">
        <f t="shared" si="0"/>
        <v>45</v>
      </c>
      <c r="C45" t="s">
        <v>372</v>
      </c>
      <c r="D45" s="68">
        <v>386924233</v>
      </c>
      <c r="E45" s="68">
        <f>+D45/($D$41*12)</f>
        <v>828.18395919485613</v>
      </c>
      <c r="F45" s="68">
        <v>193740491</v>
      </c>
      <c r="G45" s="68">
        <f>+F45/($F$41*12)</f>
        <v>1769.3195525114156</v>
      </c>
      <c r="H45" s="68">
        <v>23607687</v>
      </c>
      <c r="I45" s="68">
        <f>+H45/($H$41*12)</f>
        <v>6471.4054276315792</v>
      </c>
      <c r="J45" s="68">
        <f t="shared" si="23"/>
        <v>828.18395919485613</v>
      </c>
      <c r="K45" s="68">
        <f t="shared" si="24"/>
        <v>1769.3195525114156</v>
      </c>
      <c r="L45" s="68">
        <f t="shared" ref="L45" si="26">+MAX(E45,G45,I45)</f>
        <v>6471.4054276315792</v>
      </c>
      <c r="M45" s="77">
        <f>+IF('Fichas técnicas Tecnologías'!$X$3&lt;=$H$2*12,I45,IF(AND('Fichas técnicas Tecnologías'!$X$3&gt;$H$2*12,'Fichas técnicas Tecnologías'!$X$3&lt;=$F$2*12),G45,E45))</f>
        <v>828.18395919485613</v>
      </c>
      <c r="N45" s="72">
        <f>ROUND('Fichas técnicas Tecnologías'!$X$5*M45,-6)</f>
        <v>248000000</v>
      </c>
      <c r="P45" s="72"/>
    </row>
    <row r="46" spans="1:16" x14ac:dyDescent="0.25">
      <c r="B46" s="88">
        <f t="shared" si="0"/>
        <v>46</v>
      </c>
      <c r="C46" t="s">
        <v>373</v>
      </c>
      <c r="D46" s="68">
        <v>43546869601</v>
      </c>
      <c r="E46" s="68">
        <f t="shared" ref="E46" si="27">+D46/($D$41*12)</f>
        <v>93208.994942165606</v>
      </c>
      <c r="F46" s="68">
        <v>10206297563</v>
      </c>
      <c r="G46" s="68">
        <f t="shared" ref="G46" si="28">+F46/($F$41*12)</f>
        <v>93208.196922374424</v>
      </c>
      <c r="H46" s="68">
        <v>340209919</v>
      </c>
      <c r="I46" s="68">
        <f t="shared" ref="I46" si="29">+H46/($H$41*12)</f>
        <v>93259.297971491222</v>
      </c>
      <c r="J46" s="68">
        <f t="shared" ref="J46" si="30">+E46</f>
        <v>93208.994942165606</v>
      </c>
      <c r="K46" s="68">
        <f t="shared" ref="K46" si="31">+G46</f>
        <v>93208.196922374424</v>
      </c>
      <c r="L46" s="68">
        <f t="shared" ref="L46" si="32">+MAX(E46,G46,I46)</f>
        <v>93259.297971491222</v>
      </c>
      <c r="M46" s="77">
        <f>+IF('Fichas técnicas Tecnologías'!$X$3&lt;=$H$2*12,I46,IF(AND('Fichas técnicas Tecnologías'!$X$3&gt;$H$2*12,'Fichas técnicas Tecnologías'!$X$3&lt;=$F$2*12),G46,E46))</f>
        <v>93208.994942165606</v>
      </c>
      <c r="N46" s="72">
        <f>ROUND('Fichas técnicas Tecnologías'!$X$5*M46,-6)</f>
        <v>27963000000</v>
      </c>
      <c r="P46" s="72"/>
    </row>
    <row r="47" spans="1:16" x14ac:dyDescent="0.25">
      <c r="B47" s="88">
        <f t="shared" si="0"/>
        <v>47</v>
      </c>
      <c r="C47" t="s">
        <v>374</v>
      </c>
      <c r="D47" s="68"/>
      <c r="E47" s="68"/>
      <c r="F47" s="68"/>
      <c r="G47" s="68"/>
      <c r="H47" s="68"/>
      <c r="I47" s="68"/>
      <c r="J47" s="68"/>
      <c r="K47" s="68"/>
      <c r="L47" s="68"/>
      <c r="N47" s="72"/>
      <c r="P47" s="72"/>
    </row>
    <row r="48" spans="1:16" x14ac:dyDescent="0.25">
      <c r="B48" s="88">
        <f t="shared" si="0"/>
        <v>48</v>
      </c>
      <c r="C48" s="124" t="s">
        <v>386</v>
      </c>
      <c r="D48" s="68">
        <f>30*D41*'Datos de entrada'!$B$61</f>
        <v>0</v>
      </c>
      <c r="E48" s="68">
        <f t="shared" ref="E48:E57" si="33">+D48/($D$41*12)</f>
        <v>0</v>
      </c>
      <c r="F48" s="68">
        <f>+F41*60*'Datos de entrada'!$B$61</f>
        <v>0</v>
      </c>
      <c r="G48" s="68">
        <f t="shared" ref="G48:G57" si="34">+F48/($F$41*12)</f>
        <v>0</v>
      </c>
      <c r="H48" s="68">
        <f>+H41*80*'Datos de entrada'!$B$61</f>
        <v>0</v>
      </c>
      <c r="I48" s="68">
        <f t="shared" ref="I48:I57" si="35">IFERROR(H48/($H$22*12),0)</f>
        <v>0</v>
      </c>
      <c r="J48" s="68">
        <f t="shared" ref="J48:J49" si="36">+E48</f>
        <v>0</v>
      </c>
      <c r="K48" s="68">
        <f t="shared" ref="K48:K49" si="37">+G48</f>
        <v>0</v>
      </c>
      <c r="L48" s="68">
        <f t="shared" ref="L48:L49" si="38">+MAX(E48,G48,I48)</f>
        <v>0</v>
      </c>
      <c r="M48" s="77">
        <f>+IF('Fichas técnicas Tecnologías'!$X$3&lt;=$H$2*12,I48,IF(AND('Fichas técnicas Tecnologías'!$X$3&gt;$H$2*12,'Fichas técnicas Tecnologías'!$X$3&lt;=$F$2*12),G48,E48))</f>
        <v>0</v>
      </c>
      <c r="N48" s="72">
        <f>ROUND('Fichas técnicas Tecnologías'!$X$5*M48,-6)</f>
        <v>0</v>
      </c>
      <c r="P48" s="72"/>
    </row>
    <row r="49" spans="1:16" x14ac:dyDescent="0.25">
      <c r="B49" s="88">
        <f t="shared" si="0"/>
        <v>49</v>
      </c>
      <c r="C49" t="s">
        <v>375</v>
      </c>
      <c r="D49" s="68">
        <v>1440055457</v>
      </c>
      <c r="E49" s="68">
        <f t="shared" si="33"/>
        <v>3082.3368714629405</v>
      </c>
      <c r="F49" s="68">
        <v>360013864</v>
      </c>
      <c r="G49" s="68">
        <f t="shared" si="34"/>
        <v>3287.7978447488586</v>
      </c>
      <c r="H49" s="68">
        <v>180006932</v>
      </c>
      <c r="I49" s="68">
        <f t="shared" si="35"/>
        <v>49344.005482456138</v>
      </c>
      <c r="J49" s="68">
        <f t="shared" si="36"/>
        <v>3082.3368714629405</v>
      </c>
      <c r="K49" s="68">
        <f t="shared" si="37"/>
        <v>3287.7978447488586</v>
      </c>
      <c r="L49" s="68">
        <f t="shared" si="38"/>
        <v>49344.005482456138</v>
      </c>
      <c r="M49" s="77">
        <f>+IF('Fichas técnicas Tecnologías'!$X$3&lt;=$H$2*12,I49,IF(AND('Fichas técnicas Tecnologías'!$X$3&gt;$H$2*12,'Fichas técnicas Tecnologías'!$X$3&lt;=$F$2*12),G49,E49))</f>
        <v>3082.3368714629405</v>
      </c>
      <c r="N49" s="72">
        <f>ROUND('Fichas técnicas Tecnologías'!$X$5*M49,-6)</f>
        <v>925000000</v>
      </c>
      <c r="P49" s="72"/>
    </row>
    <row r="50" spans="1:16" x14ac:dyDescent="0.25">
      <c r="B50" s="88">
        <f t="shared" si="0"/>
        <v>50</v>
      </c>
      <c r="C50" t="s">
        <v>376</v>
      </c>
      <c r="D50" s="68">
        <v>522897985</v>
      </c>
      <c r="E50" s="68">
        <f t="shared" si="33"/>
        <v>1119.2261598986292</v>
      </c>
      <c r="F50" s="68">
        <v>261448992</v>
      </c>
      <c r="G50" s="68">
        <f t="shared" si="34"/>
        <v>2387.6620273972603</v>
      </c>
      <c r="H50" s="68">
        <v>261448992</v>
      </c>
      <c r="I50" s="68">
        <f t="shared" si="35"/>
        <v>71669.131578947374</v>
      </c>
      <c r="J50" s="68"/>
      <c r="K50" s="68"/>
      <c r="L50" s="68"/>
      <c r="M50" s="187">
        <f>+N50/'Fichas técnicas Tecnologías'!$X$5</f>
        <v>1742.9932833333332</v>
      </c>
      <c r="N50" s="72">
        <f>IF('Fichas técnicas Tecnologías'!$X$5&lt;=$H$41*12,H50,IF(AND('Fichas técnicas Tecnologías'!$X$5&gt;$H$41*12,'Fichas técnicas Tecnologías'!$X$5&lt;=$F$41*12),F50,D50))</f>
        <v>522897985</v>
      </c>
      <c r="P50" s="72"/>
    </row>
    <row r="51" spans="1:16" x14ac:dyDescent="0.25">
      <c r="B51" s="88">
        <f t="shared" si="0"/>
        <v>51</v>
      </c>
      <c r="C51" t="s">
        <v>377</v>
      </c>
      <c r="D51" s="68">
        <v>522897985</v>
      </c>
      <c r="E51" s="68">
        <f t="shared" si="33"/>
        <v>1119.2261598986292</v>
      </c>
      <c r="F51" s="68">
        <v>261448992</v>
      </c>
      <c r="G51" s="68">
        <f t="shared" si="34"/>
        <v>2387.6620273972603</v>
      </c>
      <c r="H51" s="68" t="s">
        <v>384</v>
      </c>
      <c r="I51" s="68">
        <f t="shared" si="35"/>
        <v>0</v>
      </c>
      <c r="J51" s="68"/>
      <c r="K51" s="68"/>
      <c r="L51" s="68"/>
      <c r="M51" s="187">
        <f>+N51/'Fichas técnicas Tecnologías'!$X$5</f>
        <v>1742.9932833333332</v>
      </c>
      <c r="N51" s="72">
        <f>IF('Fichas técnicas Tecnologías'!$X$5&lt;=$H$41*12,H51,IF(AND('Fichas técnicas Tecnologías'!$X$5&gt;$H$41*12,'Fichas técnicas Tecnologías'!$X$5&lt;=$F$41*12),F51,D51))</f>
        <v>522897985</v>
      </c>
      <c r="P51" s="72"/>
    </row>
    <row r="52" spans="1:16" x14ac:dyDescent="0.25">
      <c r="B52" s="88">
        <f t="shared" si="0"/>
        <v>52</v>
      </c>
      <c r="C52" t="s">
        <v>378</v>
      </c>
      <c r="D52" s="68">
        <v>455788083</v>
      </c>
      <c r="E52" s="68">
        <f t="shared" si="33"/>
        <v>975.5821603780854</v>
      </c>
      <c r="F52" s="68">
        <v>227894041</v>
      </c>
      <c r="G52" s="68">
        <f t="shared" si="34"/>
        <v>2081.2241187214613</v>
      </c>
      <c r="H52" s="68" t="s">
        <v>384</v>
      </c>
      <c r="I52" s="68">
        <f t="shared" si="35"/>
        <v>0</v>
      </c>
      <c r="J52" s="68"/>
      <c r="K52" s="68"/>
      <c r="L52" s="68"/>
      <c r="M52" s="187">
        <f>+N52/'Fichas técnicas Tecnologías'!$X$5</f>
        <v>1519.2936099999999</v>
      </c>
      <c r="N52" s="72">
        <f>IF('Fichas técnicas Tecnologías'!$X$5&lt;=$H$41*12,H52,IF(AND('Fichas técnicas Tecnologías'!$X$5&gt;$H$41*12,'Fichas técnicas Tecnologías'!$X$5&lt;=$F$41*12),F52,D52))</f>
        <v>455788083</v>
      </c>
      <c r="P52" s="72"/>
    </row>
    <row r="53" spans="1:16" x14ac:dyDescent="0.25">
      <c r="B53" s="88">
        <f t="shared" si="0"/>
        <v>53</v>
      </c>
      <c r="C53" t="s">
        <v>379</v>
      </c>
      <c r="D53" s="68">
        <v>162182263</v>
      </c>
      <c r="E53" s="68">
        <f t="shared" si="33"/>
        <v>347.13966515124275</v>
      </c>
      <c r="F53" s="68">
        <v>162182263</v>
      </c>
      <c r="G53" s="68">
        <f t="shared" si="34"/>
        <v>1481.1165570776257</v>
      </c>
      <c r="H53" s="68" t="s">
        <v>384</v>
      </c>
      <c r="I53" s="68">
        <f t="shared" si="35"/>
        <v>0</v>
      </c>
      <c r="J53" s="68"/>
      <c r="K53" s="68"/>
      <c r="L53" s="68"/>
      <c r="M53" s="187">
        <f>+N53/'Fichas técnicas Tecnologías'!$X$5</f>
        <v>540.6075433333333</v>
      </c>
      <c r="N53" s="72">
        <f>IF('Fichas técnicas Tecnologías'!$X$5&lt;=$H$41*12,H53,IF(AND('Fichas técnicas Tecnologías'!$X$5&gt;$H$41*12,'Fichas técnicas Tecnologías'!$X$5&lt;=$F$41*12),F53,D53))</f>
        <v>162182263</v>
      </c>
      <c r="P53" s="72"/>
    </row>
    <row r="54" spans="1:16" x14ac:dyDescent="0.25">
      <c r="B54" s="88">
        <f t="shared" si="0"/>
        <v>54</v>
      </c>
      <c r="C54" t="s">
        <v>380</v>
      </c>
      <c r="D54" s="68">
        <v>153793525</v>
      </c>
      <c r="E54" s="68">
        <f t="shared" si="33"/>
        <v>329.18416467606744</v>
      </c>
      <c r="F54" s="68">
        <v>153793525</v>
      </c>
      <c r="G54" s="68">
        <f t="shared" si="34"/>
        <v>1404.5070776255707</v>
      </c>
      <c r="H54" s="68">
        <v>153793525</v>
      </c>
      <c r="I54" s="68">
        <f t="shared" si="35"/>
        <v>42158.312774122809</v>
      </c>
      <c r="J54" s="68"/>
      <c r="K54" s="68"/>
      <c r="L54" s="68"/>
      <c r="M54" s="187">
        <f>+N54/'Fichas técnicas Tecnologías'!$X$5</f>
        <v>512.64508333333333</v>
      </c>
      <c r="N54" s="72">
        <f>IF('Fichas técnicas Tecnologías'!$X$5&lt;=$H$41*12,H54,IF(AND('Fichas técnicas Tecnologías'!$X$5&gt;$H$41*12,'Fichas técnicas Tecnologías'!$X$5&lt;=$F$41*12),F54,D54))</f>
        <v>153793525</v>
      </c>
      <c r="P54" s="72"/>
    </row>
    <row r="55" spans="1:16" x14ac:dyDescent="0.25">
      <c r="B55" s="88">
        <f t="shared" si="0"/>
        <v>55</v>
      </c>
      <c r="C55" t="s">
        <v>381</v>
      </c>
      <c r="D55" s="68">
        <v>37749320</v>
      </c>
      <c r="E55" s="68">
        <f t="shared" si="33"/>
        <v>80.799749997859564</v>
      </c>
      <c r="F55" s="68">
        <v>37749320</v>
      </c>
      <c r="G55" s="68">
        <f t="shared" si="34"/>
        <v>344.7426484018265</v>
      </c>
      <c r="H55" s="68">
        <v>37749320</v>
      </c>
      <c r="I55" s="68">
        <f t="shared" si="35"/>
        <v>10347.94956140351</v>
      </c>
      <c r="J55" s="68"/>
      <c r="K55" s="68"/>
      <c r="L55" s="68"/>
      <c r="M55" s="187">
        <f>+N55/'Fichas técnicas Tecnologías'!$X$5</f>
        <v>125.83106666666667</v>
      </c>
      <c r="N55" s="72">
        <f>IF('Fichas técnicas Tecnologías'!$X$5&lt;=$H$41*12,H55,IF(AND('Fichas técnicas Tecnologías'!$X$5&gt;$H$41*12,'Fichas técnicas Tecnologías'!$X$5&lt;=$F$41*12),F55,D55))</f>
        <v>37749320</v>
      </c>
      <c r="P55" s="72"/>
    </row>
    <row r="56" spans="1:16" x14ac:dyDescent="0.25">
      <c r="B56" s="88">
        <f t="shared" si="0"/>
        <v>56</v>
      </c>
      <c r="C56" t="s">
        <v>382</v>
      </c>
      <c r="D56" s="68">
        <v>922761150</v>
      </c>
      <c r="E56" s="68">
        <f t="shared" si="33"/>
        <v>1975.1049880564046</v>
      </c>
      <c r="F56" s="68">
        <v>615174100</v>
      </c>
      <c r="G56" s="68">
        <f t="shared" si="34"/>
        <v>5618.0283105022827</v>
      </c>
      <c r="H56" s="68">
        <v>307587050</v>
      </c>
      <c r="I56" s="68">
        <f t="shared" si="35"/>
        <v>84316.625548245618</v>
      </c>
      <c r="J56" s="68"/>
      <c r="K56" s="68"/>
      <c r="L56" s="68"/>
      <c r="M56" s="187">
        <f>+N56/'Fichas técnicas Tecnologías'!$X$5</f>
        <v>3075.8705</v>
      </c>
      <c r="N56" s="72">
        <f>IF('Fichas técnicas Tecnologías'!$X$5&lt;=$H$41*12,H56,IF(AND('Fichas técnicas Tecnologías'!$X$5&gt;$H$41*12,'Fichas técnicas Tecnologías'!$X$5&lt;=$F$41*12),F56,D56))</f>
        <v>922761150</v>
      </c>
      <c r="P56" s="72"/>
    </row>
    <row r="57" spans="1:16" x14ac:dyDescent="0.25">
      <c r="B57" s="88">
        <f t="shared" si="0"/>
        <v>57</v>
      </c>
      <c r="C57" t="s">
        <v>385</v>
      </c>
      <c r="D57" s="68">
        <v>206314606</v>
      </c>
      <c r="E57" s="68">
        <f t="shared" si="33"/>
        <v>441.60182450192212</v>
      </c>
      <c r="F57" s="68">
        <v>103157303</v>
      </c>
      <c r="G57" s="68">
        <f t="shared" si="34"/>
        <v>942.07582648401831</v>
      </c>
      <c r="H57" s="68" t="s">
        <v>384</v>
      </c>
      <c r="I57" s="68">
        <f t="shared" si="35"/>
        <v>0</v>
      </c>
      <c r="J57" s="68"/>
      <c r="K57" s="68"/>
      <c r="L57" s="68"/>
      <c r="M57" s="187">
        <f>+N57/'Fichas técnicas Tecnologías'!$X$5</f>
        <v>687.71535333333338</v>
      </c>
      <c r="N57" s="72">
        <f>IF('Fichas técnicas Tecnologías'!$X$5&lt;=$H$41*12,H57,IF(AND('Fichas técnicas Tecnologías'!$X$5&gt;$H$41*12,'Fichas técnicas Tecnologías'!$X$5&lt;=$F$41*12),F57,D57))</f>
        <v>206314606</v>
      </c>
      <c r="P57" s="72"/>
    </row>
    <row r="58" spans="1:16" x14ac:dyDescent="0.25">
      <c r="B58" s="88">
        <f t="shared" si="0"/>
        <v>58</v>
      </c>
      <c r="C58" t="s">
        <v>383</v>
      </c>
      <c r="D58" s="68"/>
      <c r="E58" s="68"/>
      <c r="F58" s="68"/>
      <c r="G58" s="68"/>
      <c r="H58" s="68"/>
      <c r="I58" s="68"/>
      <c r="J58" s="68"/>
      <c r="K58" s="68"/>
      <c r="L58" s="68"/>
      <c r="N58" s="72">
        <f>SUM(N44:N57)</f>
        <v>33660384917</v>
      </c>
      <c r="P58" s="72"/>
    </row>
    <row r="59" spans="1:16" x14ac:dyDescent="0.25">
      <c r="B59" s="88">
        <f t="shared" si="0"/>
        <v>59</v>
      </c>
      <c r="N59" s="73"/>
      <c r="P59" s="73"/>
    </row>
    <row r="60" spans="1:16" ht="15" customHeight="1" x14ac:dyDescent="0.25">
      <c r="B60" s="88">
        <f t="shared" si="0"/>
        <v>60</v>
      </c>
      <c r="C60" s="280" t="str">
        <f>+'Fichas técnicas Tecnologías'!A6</f>
        <v>Tratamiento Mecánico Biológico</v>
      </c>
      <c r="D60" s="280"/>
      <c r="E60" s="280"/>
      <c r="F60" s="280"/>
      <c r="G60" s="280"/>
      <c r="H60" s="280"/>
      <c r="I60" s="280"/>
      <c r="J60" s="280"/>
      <c r="K60" s="280"/>
      <c r="L60" s="74"/>
      <c r="M60" s="287" t="s">
        <v>336</v>
      </c>
      <c r="N60" s="287"/>
      <c r="O60" s="287" t="s">
        <v>337</v>
      </c>
      <c r="P60" s="287"/>
    </row>
    <row r="61" spans="1:16" x14ac:dyDescent="0.25">
      <c r="B61" s="88">
        <f t="shared" si="0"/>
        <v>61</v>
      </c>
      <c r="C61" s="70" t="s">
        <v>338</v>
      </c>
      <c r="D61" s="290">
        <v>38933</v>
      </c>
      <c r="E61" s="290"/>
      <c r="F61" s="290">
        <v>9125</v>
      </c>
      <c r="G61" s="290"/>
      <c r="H61" s="291">
        <v>304</v>
      </c>
      <c r="I61" s="291"/>
      <c r="J61" s="292" t="s">
        <v>339</v>
      </c>
      <c r="K61" s="292"/>
      <c r="L61" s="69"/>
      <c r="M61" s="287"/>
      <c r="N61" s="287"/>
      <c r="O61" s="287"/>
      <c r="P61" s="287"/>
    </row>
    <row r="62" spans="1:16" x14ac:dyDescent="0.25">
      <c r="B62" s="88">
        <f t="shared" si="0"/>
        <v>62</v>
      </c>
      <c r="C62" s="70" t="s">
        <v>340</v>
      </c>
      <c r="D62" s="71" t="s">
        <v>368</v>
      </c>
      <c r="E62" s="71" t="s">
        <v>369</v>
      </c>
      <c r="F62" s="71" t="s">
        <v>368</v>
      </c>
      <c r="G62" s="71" t="s">
        <v>369</v>
      </c>
      <c r="H62" s="71" t="s">
        <v>368</v>
      </c>
      <c r="I62" s="71" t="s">
        <v>369</v>
      </c>
      <c r="J62" s="69" t="s">
        <v>343</v>
      </c>
      <c r="K62" s="69" t="s">
        <v>344</v>
      </c>
      <c r="L62" s="69" t="s">
        <v>345</v>
      </c>
      <c r="M62" s="71" t="s">
        <v>346</v>
      </c>
      <c r="N62" s="69" t="s">
        <v>347</v>
      </c>
      <c r="O62" s="71" t="s">
        <v>346</v>
      </c>
      <c r="P62" s="69" t="s">
        <v>347</v>
      </c>
    </row>
    <row r="63" spans="1:16" x14ac:dyDescent="0.25">
      <c r="A63" s="2" t="str">
        <f>$C$60</f>
        <v>Tratamiento Mecánico Biológico</v>
      </c>
      <c r="B63" s="88">
        <f t="shared" si="0"/>
        <v>63</v>
      </c>
      <c r="C63" t="s">
        <v>370</v>
      </c>
      <c r="D63" s="68"/>
      <c r="E63" s="68"/>
      <c r="F63" s="68"/>
      <c r="N63" s="73"/>
      <c r="P63" s="73"/>
    </row>
    <row r="64" spans="1:16" x14ac:dyDescent="0.25">
      <c r="B64" s="88">
        <f t="shared" si="0"/>
        <v>64</v>
      </c>
      <c r="C64" t="s">
        <v>371</v>
      </c>
      <c r="D64" s="68">
        <f>+(D66+SUM(D68:D73))*5%</f>
        <v>771719568.55000007</v>
      </c>
      <c r="E64" s="68">
        <f>+D64/(D$61*12)</f>
        <v>1651.8111639440408</v>
      </c>
      <c r="F64" s="68">
        <f>+(F66+SUM(F68:F73))*5%</f>
        <v>287054974.25</v>
      </c>
      <c r="G64" s="68">
        <f>+F64/(F$61*12)</f>
        <v>2621.5066141552511</v>
      </c>
      <c r="H64" s="68">
        <f>+(H66+SUM(H68:H73))*5%</f>
        <v>12771311.050000001</v>
      </c>
      <c r="I64" s="68">
        <f t="shared" ref="G64:I73" si="39">+H64/(H$61*12)</f>
        <v>3500.9076343201755</v>
      </c>
      <c r="J64" s="68">
        <f t="shared" ref="J64:J65" si="40">+E64</f>
        <v>1651.8111639440408</v>
      </c>
      <c r="K64" s="68">
        <f t="shared" ref="K64:K65" si="41">+G64</f>
        <v>2621.5066141552511</v>
      </c>
      <c r="L64" s="68">
        <f t="shared" ref="L64" si="42">+MAX(E64,G64,I64)</f>
        <v>3500.9076343201755</v>
      </c>
      <c r="M64" s="77">
        <f>+IF('Fichas técnicas Tecnologías'!$X$3&lt;=$H$2*12,I64,IF(AND('Fichas técnicas Tecnologías'!$X$3&gt;$H$2*12,'Fichas técnicas Tecnologías'!$X$3&lt;=$F$2*12),G64,E64))</f>
        <v>1651.8111639440408</v>
      </c>
      <c r="N64" s="72">
        <f>ROUND('Fichas técnicas Tecnologías'!$X$6*M64,-6)</f>
        <v>826000000</v>
      </c>
      <c r="P64" s="72"/>
    </row>
    <row r="65" spans="2:16" x14ac:dyDescent="0.25">
      <c r="B65" s="88">
        <f t="shared" si="0"/>
        <v>65</v>
      </c>
      <c r="C65" t="s">
        <v>372</v>
      </c>
      <c r="D65" s="68">
        <v>386924233</v>
      </c>
      <c r="E65" s="68">
        <f>+D65/(D$61*12)</f>
        <v>828.18395919485613</v>
      </c>
      <c r="F65" s="68">
        <v>193740491</v>
      </c>
      <c r="G65" s="68">
        <f t="shared" si="39"/>
        <v>1769.3195525114156</v>
      </c>
      <c r="H65" s="68">
        <v>23607687</v>
      </c>
      <c r="I65" s="68">
        <f t="shared" si="39"/>
        <v>6471.4054276315792</v>
      </c>
      <c r="J65" s="68">
        <f t="shared" si="40"/>
        <v>828.18395919485613</v>
      </c>
      <c r="K65" s="68">
        <f t="shared" si="41"/>
        <v>1769.3195525114156</v>
      </c>
      <c r="L65" s="68">
        <f t="shared" ref="L65" si="43">+MAX(E65,G65,I65)</f>
        <v>6471.4054276315792</v>
      </c>
      <c r="M65" s="77">
        <f>+IF('Fichas técnicas Tecnologías'!$X$3&lt;=$H$2*12,I65,IF(AND('Fichas técnicas Tecnologías'!$X$3&gt;$H$2*12,'Fichas técnicas Tecnologías'!$X$3&lt;=$F$2*12),G65,E65))</f>
        <v>828.18395919485613</v>
      </c>
      <c r="N65" s="72">
        <f>ROUND('Fichas técnicas Tecnologías'!$X$6*M65,-6)</f>
        <v>414000000</v>
      </c>
      <c r="P65" s="72"/>
    </row>
    <row r="66" spans="2:16" x14ac:dyDescent="0.25">
      <c r="B66" s="88">
        <f t="shared" si="0"/>
        <v>66</v>
      </c>
      <c r="C66" t="s">
        <v>373</v>
      </c>
      <c r="D66" s="68">
        <v>8241346817</v>
      </c>
      <c r="E66" s="68">
        <f t="shared" ref="E66" si="44">+D66/(D$61*12)</f>
        <v>17640.0200708054</v>
      </c>
      <c r="F66" s="68">
        <v>1931565660</v>
      </c>
      <c r="G66" s="68">
        <f t="shared" si="39"/>
        <v>17639.869041095892</v>
      </c>
      <c r="H66" s="68">
        <v>64385522</v>
      </c>
      <c r="I66" s="68">
        <f t="shared" ref="I66" si="45">+H66/(H$61*12)</f>
        <v>17649.540021929824</v>
      </c>
      <c r="J66" s="68">
        <f t="shared" ref="J66" si="46">+E66</f>
        <v>17640.0200708054</v>
      </c>
      <c r="K66" s="68">
        <f t="shared" ref="K66" si="47">+G66</f>
        <v>17639.869041095892</v>
      </c>
      <c r="L66" s="68">
        <f t="shared" ref="L66" si="48">+MAX(E66,G66,I66)</f>
        <v>17649.540021929824</v>
      </c>
      <c r="M66" s="77">
        <f>+IF('Fichas técnicas Tecnologías'!$X$3&lt;=$H$2*12,I66,IF(AND('Fichas técnicas Tecnologías'!$X$3&gt;$H$2*12,'Fichas técnicas Tecnologías'!$X$3&lt;=$F$2*12),G66,E66))</f>
        <v>17640.0200708054</v>
      </c>
      <c r="N66" s="72">
        <f>ROUND('Fichas técnicas Tecnologías'!$X$6*M66,-6)</f>
        <v>8820000000</v>
      </c>
      <c r="P66" s="72"/>
    </row>
    <row r="67" spans="2:16" x14ac:dyDescent="0.25">
      <c r="B67" s="88">
        <f t="shared" si="0"/>
        <v>67</v>
      </c>
      <c r="C67" t="s">
        <v>374</v>
      </c>
      <c r="D67" s="68"/>
      <c r="E67" s="68"/>
      <c r="F67" s="68"/>
      <c r="G67" s="68"/>
      <c r="H67" s="68"/>
      <c r="I67" s="68"/>
      <c r="J67" s="68"/>
      <c r="K67" s="68"/>
      <c r="L67" s="68"/>
      <c r="N67" s="72"/>
      <c r="P67" s="72"/>
    </row>
    <row r="68" spans="2:16" x14ac:dyDescent="0.25">
      <c r="B68" s="88">
        <f t="shared" si="0"/>
        <v>68</v>
      </c>
      <c r="C68" t="s">
        <v>387</v>
      </c>
      <c r="D68" s="68">
        <v>1098542445</v>
      </c>
      <c r="E68" s="68">
        <f t="shared" ref="E68:E73" si="49">+D68/(D$61*12)</f>
        <v>2351.3524195412633</v>
      </c>
      <c r="F68" s="68">
        <v>659125467</v>
      </c>
      <c r="G68" s="68">
        <f t="shared" si="39"/>
        <v>6019.4106575342466</v>
      </c>
      <c r="H68" s="68">
        <v>87883396</v>
      </c>
      <c r="I68" s="68">
        <f t="shared" ref="I68:I73" si="50">IFERROR(H68/($H$61*12),0)</f>
        <v>24090.843201754386</v>
      </c>
      <c r="J68" s="68">
        <f t="shared" ref="J68:J69" si="51">+E68</f>
        <v>2351.3524195412633</v>
      </c>
      <c r="K68" s="68">
        <f t="shared" ref="K68:K69" si="52">+G68</f>
        <v>6019.4106575342466</v>
      </c>
      <c r="L68" s="68">
        <f t="shared" ref="L68:L72" si="53">+MAX(E68,G68,I68)</f>
        <v>24090.843201754386</v>
      </c>
      <c r="M68" s="77">
        <f>+IF('Fichas técnicas Tecnologías'!$X$3&lt;=$H$2*12,I68,IF(AND('Fichas técnicas Tecnologías'!$X$3&gt;$H$2*12,'Fichas técnicas Tecnologías'!$X$3&lt;=$F$2*12),G68,E68))</f>
        <v>2351.3524195412633</v>
      </c>
      <c r="N68" s="72">
        <f>ROUND('Fichas técnicas Tecnologías'!$X$6*M68,-6)</f>
        <v>1176000000</v>
      </c>
      <c r="P68" s="72"/>
    </row>
    <row r="69" spans="2:16" x14ac:dyDescent="0.25">
      <c r="B69" s="88">
        <f t="shared" ref="B69:B132" si="54">B68+1</f>
        <v>69</v>
      </c>
      <c r="C69" t="s">
        <v>388</v>
      </c>
      <c r="D69" s="68">
        <v>878833956</v>
      </c>
      <c r="E69" s="68">
        <f t="shared" si="49"/>
        <v>1881.0819356330105</v>
      </c>
      <c r="F69" s="68">
        <v>439416978</v>
      </c>
      <c r="G69" s="68">
        <f t="shared" si="39"/>
        <v>4012.9404383561646</v>
      </c>
      <c r="H69" t="s">
        <v>384</v>
      </c>
      <c r="I69" s="68">
        <f t="shared" si="50"/>
        <v>0</v>
      </c>
      <c r="J69" s="68">
        <f t="shared" si="51"/>
        <v>1881.0819356330105</v>
      </c>
      <c r="K69" s="68">
        <f t="shared" si="52"/>
        <v>4012.9404383561646</v>
      </c>
      <c r="L69" s="68">
        <f t="shared" si="53"/>
        <v>4012.9404383561646</v>
      </c>
      <c r="M69" s="77">
        <f>+IF('Fichas técnicas Tecnologías'!$X$3&lt;=$H$2*12,I69,IF(AND('Fichas técnicas Tecnologías'!$X$3&gt;$H$2*12,'Fichas técnicas Tecnologías'!$X$3&lt;=$F$2*12),G69,E69))</f>
        <v>1881.0819356330105</v>
      </c>
      <c r="N69" s="72">
        <f>ROUND('Fichas técnicas Tecnologías'!$X$6*M69,-6)</f>
        <v>941000000</v>
      </c>
      <c r="P69" s="72"/>
    </row>
    <row r="70" spans="2:16" x14ac:dyDescent="0.25">
      <c r="B70" s="88">
        <f t="shared" si="54"/>
        <v>70</v>
      </c>
      <c r="C70" t="s">
        <v>389</v>
      </c>
      <c r="D70" s="68">
        <v>175766791</v>
      </c>
      <c r="E70" s="68">
        <f t="shared" si="49"/>
        <v>376.21638669851626</v>
      </c>
      <c r="F70" s="68">
        <v>87883396</v>
      </c>
      <c r="G70" s="68">
        <f t="shared" si="39"/>
        <v>802.58809132420095</v>
      </c>
      <c r="H70" t="s">
        <v>384</v>
      </c>
      <c r="I70" s="68">
        <f t="shared" si="50"/>
        <v>0</v>
      </c>
      <c r="J70" s="68"/>
      <c r="K70" s="68"/>
      <c r="L70" s="68"/>
      <c r="M70" s="77">
        <f>+IF('Fichas técnicas Tecnologías'!$X$3&lt;=$H$2*12,I70,IF(AND('Fichas técnicas Tecnologías'!$X$3&gt;$H$2*12,'Fichas técnicas Tecnologías'!$X$3&lt;=$F$2*12),G70,E70))</f>
        <v>376.21638669851626</v>
      </c>
      <c r="N70" s="72">
        <f>IF('Fichas técnicas Tecnologías'!$X$6&lt;=$H$41*12,H70,IF(AND('Fichas técnicas Tecnologías'!$X$6&gt;$H$41*12,'Fichas técnicas Tecnologías'!$X$6&lt;=$F$41*12),F70,D70))</f>
        <v>175766791</v>
      </c>
      <c r="P70" s="72"/>
    </row>
    <row r="71" spans="2:16" x14ac:dyDescent="0.25">
      <c r="B71" s="88">
        <f t="shared" si="54"/>
        <v>71</v>
      </c>
      <c r="C71" t="s">
        <v>390</v>
      </c>
      <c r="D71" s="68">
        <v>2197084889</v>
      </c>
      <c r="E71" s="68">
        <f t="shared" si="49"/>
        <v>4702.7048369420972</v>
      </c>
      <c r="F71" s="68">
        <v>1098542445</v>
      </c>
      <c r="G71" s="68">
        <f t="shared" si="39"/>
        <v>10032.351095890412</v>
      </c>
      <c r="H71" t="s">
        <v>384</v>
      </c>
      <c r="I71" s="68">
        <f t="shared" si="50"/>
        <v>0</v>
      </c>
      <c r="J71" s="68">
        <f t="shared" ref="J71:J73" si="55">+E71</f>
        <v>4702.7048369420972</v>
      </c>
      <c r="K71" s="68">
        <f t="shared" ref="K71:K73" si="56">+G71</f>
        <v>10032.351095890412</v>
      </c>
      <c r="L71" s="68">
        <f t="shared" si="53"/>
        <v>10032.351095890412</v>
      </c>
      <c r="M71" s="77">
        <f>+IF('Fichas técnicas Tecnologías'!$X$3&lt;=$H$2*12,I71,IF(AND('Fichas técnicas Tecnologías'!$X$3&gt;$H$2*12,'Fichas técnicas Tecnologías'!$X$3&lt;=$F$2*12),G71,E71))</f>
        <v>4702.7048369420972</v>
      </c>
      <c r="N71" s="72">
        <f>ROUND('Fichas técnicas Tecnologías'!$X$6*M71,-6)</f>
        <v>2351000000</v>
      </c>
      <c r="P71" s="72"/>
    </row>
    <row r="72" spans="2:16" x14ac:dyDescent="0.25">
      <c r="B72" s="88">
        <f t="shared" si="54"/>
        <v>72</v>
      </c>
      <c r="C72" t="s">
        <v>391</v>
      </c>
      <c r="D72" s="68">
        <v>2636501867</v>
      </c>
      <c r="E72" s="68">
        <f t="shared" si="49"/>
        <v>5643.2458047586024</v>
      </c>
      <c r="F72" s="68">
        <v>1318250933</v>
      </c>
      <c r="G72" s="68">
        <f t="shared" si="39"/>
        <v>12038.821305936073</v>
      </c>
      <c r="H72" t="s">
        <v>384</v>
      </c>
      <c r="I72" s="68">
        <f t="shared" si="50"/>
        <v>0</v>
      </c>
      <c r="J72" s="68">
        <f t="shared" si="55"/>
        <v>5643.2458047586024</v>
      </c>
      <c r="K72" s="68">
        <f t="shared" si="56"/>
        <v>12038.821305936073</v>
      </c>
      <c r="L72" s="68">
        <f t="shared" si="53"/>
        <v>12038.821305936073</v>
      </c>
      <c r="M72" s="77">
        <f>+IF('Fichas técnicas Tecnologías'!$X$3&lt;=$H$2*12,I72,IF(AND('Fichas técnicas Tecnologías'!$X$3&gt;$H$2*12,'Fichas técnicas Tecnologías'!$X$3&lt;=$F$2*12),G72,E72))</f>
        <v>5643.2458047586024</v>
      </c>
      <c r="N72" s="72">
        <f>ROUND('Fichas técnicas Tecnologías'!$X$6*M72,-6)</f>
        <v>2822000000</v>
      </c>
      <c r="P72" s="72"/>
    </row>
    <row r="73" spans="2:16" x14ac:dyDescent="0.25">
      <c r="B73" s="88">
        <f t="shared" si="54"/>
        <v>73</v>
      </c>
      <c r="C73" t="s">
        <v>385</v>
      </c>
      <c r="D73" s="68">
        <v>206314606</v>
      </c>
      <c r="E73" s="68">
        <f t="shared" si="49"/>
        <v>441.60182450192212</v>
      </c>
      <c r="F73" s="68">
        <v>206314606</v>
      </c>
      <c r="G73" s="68">
        <f t="shared" si="39"/>
        <v>1884.1516529680366</v>
      </c>
      <c r="H73" s="68">
        <v>103157303</v>
      </c>
      <c r="I73" s="68">
        <f t="shared" si="50"/>
        <v>28277.769462719298</v>
      </c>
      <c r="J73" s="68">
        <f t="shared" si="55"/>
        <v>441.60182450192212</v>
      </c>
      <c r="K73" s="68">
        <f t="shared" si="56"/>
        <v>1884.1516529680366</v>
      </c>
      <c r="L73" s="68">
        <f t="shared" ref="L73" si="57">+MAX(E73,G73,I73)</f>
        <v>28277.769462719298</v>
      </c>
      <c r="M73" s="77">
        <f>+IF('Fichas técnicas Tecnologías'!$X$3&lt;=$H$2*12,I73,IF(AND('Fichas técnicas Tecnologías'!$X$3&gt;$H$2*12,'Fichas técnicas Tecnologías'!$X$3&lt;=$F$2*12),G73,E73))</f>
        <v>441.60182450192212</v>
      </c>
      <c r="N73" s="72">
        <f>IF('Fichas técnicas Tecnologías'!$X$6&lt;=$H$41*12,H73,IF(AND('Fichas técnicas Tecnologías'!$X$6&gt;$H$41*12,'Fichas técnicas Tecnologías'!$X$6&lt;=$F$41*12),F73,D73))</f>
        <v>206314606</v>
      </c>
      <c r="P73" s="72"/>
    </row>
    <row r="74" spans="2:16" x14ac:dyDescent="0.25">
      <c r="B74" s="88">
        <f t="shared" si="54"/>
        <v>74</v>
      </c>
      <c r="C74" s="125" t="s">
        <v>392</v>
      </c>
      <c r="D74" s="68"/>
      <c r="E74" s="68"/>
      <c r="F74" s="68"/>
      <c r="G74" s="68"/>
      <c r="H74" s="68"/>
      <c r="I74" s="68"/>
      <c r="J74" s="68"/>
      <c r="K74" s="68"/>
      <c r="L74" s="68"/>
      <c r="M74" s="176">
        <f>+SUM(M25:M37)*'Fichas técnicas Tecnologías'!S7</f>
        <v>73023.064834743476</v>
      </c>
      <c r="N74" s="72">
        <f>ROUND('Fichas técnicas Tecnologías'!$X$6*M74,-6)</f>
        <v>36512000000</v>
      </c>
      <c r="P74" s="72"/>
    </row>
    <row r="75" spans="2:16" x14ac:dyDescent="0.25">
      <c r="B75" s="88">
        <f t="shared" si="54"/>
        <v>75</v>
      </c>
      <c r="C75" t="s">
        <v>383</v>
      </c>
      <c r="N75" s="73">
        <f>SUM(N64:N74)</f>
        <v>54244081397</v>
      </c>
      <c r="P75" s="73"/>
    </row>
    <row r="76" spans="2:16" x14ac:dyDescent="0.25">
      <c r="B76" s="88">
        <f t="shared" si="54"/>
        <v>76</v>
      </c>
      <c r="N76" s="73"/>
      <c r="P76" s="73"/>
    </row>
    <row r="77" spans="2:16" x14ac:dyDescent="0.25">
      <c r="B77" s="88">
        <f t="shared" si="54"/>
        <v>77</v>
      </c>
      <c r="N77" s="73"/>
      <c r="P77" s="73"/>
    </row>
    <row r="78" spans="2:16" x14ac:dyDescent="0.25">
      <c r="B78" s="88">
        <f t="shared" si="54"/>
        <v>78</v>
      </c>
      <c r="N78" s="73"/>
      <c r="P78" s="73"/>
    </row>
    <row r="79" spans="2:16" ht="15" customHeight="1" x14ac:dyDescent="0.25">
      <c r="B79" s="88">
        <f t="shared" si="54"/>
        <v>79</v>
      </c>
      <c r="C79" s="280" t="str">
        <f>+'Fichas técnicas Tecnologías'!A9</f>
        <v>Digestión Anaerobia</v>
      </c>
      <c r="D79" s="280"/>
      <c r="E79" s="280"/>
      <c r="F79" s="280"/>
      <c r="G79" s="280"/>
      <c r="H79" s="280"/>
      <c r="I79" s="280"/>
      <c r="J79" s="280"/>
      <c r="K79" s="280"/>
      <c r="L79" s="74"/>
      <c r="M79" s="287" t="s">
        <v>336</v>
      </c>
      <c r="N79" s="287"/>
      <c r="O79" s="287" t="s">
        <v>337</v>
      </c>
      <c r="P79" s="287"/>
    </row>
    <row r="80" spans="2:16" x14ac:dyDescent="0.25">
      <c r="B80" s="88">
        <f t="shared" si="54"/>
        <v>80</v>
      </c>
      <c r="C80" s="70" t="s">
        <v>338</v>
      </c>
      <c r="D80" s="290">
        <v>38933</v>
      </c>
      <c r="E80" s="290"/>
      <c r="F80" s="290">
        <v>9125</v>
      </c>
      <c r="G80" s="290"/>
      <c r="H80" s="291">
        <v>304</v>
      </c>
      <c r="I80" s="291"/>
      <c r="J80" s="292" t="s">
        <v>339</v>
      </c>
      <c r="K80" s="292"/>
      <c r="L80" s="69"/>
      <c r="M80" s="287"/>
      <c r="N80" s="287"/>
      <c r="O80" s="287"/>
      <c r="P80" s="287"/>
    </row>
    <row r="81" spans="1:16" x14ac:dyDescent="0.25">
      <c r="B81" s="88">
        <f t="shared" si="54"/>
        <v>81</v>
      </c>
      <c r="C81" s="70" t="s">
        <v>340</v>
      </c>
      <c r="D81" s="71" t="s">
        <v>368</v>
      </c>
      <c r="E81" s="71" t="s">
        <v>369</v>
      </c>
      <c r="F81" s="71" t="s">
        <v>368</v>
      </c>
      <c r="G81" s="71" t="s">
        <v>369</v>
      </c>
      <c r="H81" s="71" t="s">
        <v>368</v>
      </c>
      <c r="I81" s="71" t="s">
        <v>369</v>
      </c>
      <c r="J81" s="69" t="s">
        <v>343</v>
      </c>
      <c r="K81" s="69" t="s">
        <v>344</v>
      </c>
      <c r="L81" s="69" t="s">
        <v>345</v>
      </c>
      <c r="M81" s="71" t="s">
        <v>346</v>
      </c>
      <c r="N81" s="69" t="s">
        <v>347</v>
      </c>
      <c r="O81" s="71" t="s">
        <v>346</v>
      </c>
      <c r="P81" s="69" t="s">
        <v>347</v>
      </c>
    </row>
    <row r="82" spans="1:16" x14ac:dyDescent="0.25">
      <c r="A82" s="2" t="str">
        <f>$C$79</f>
        <v>Digestión Anaerobia</v>
      </c>
      <c r="B82" s="88">
        <f t="shared" si="54"/>
        <v>82</v>
      </c>
      <c r="C82" t="s">
        <v>370</v>
      </c>
      <c r="D82" s="68"/>
      <c r="F82" s="68"/>
      <c r="H82" s="68"/>
      <c r="N82" s="73"/>
      <c r="P82" s="73"/>
    </row>
    <row r="83" spans="1:16" x14ac:dyDescent="0.25">
      <c r="B83" s="88">
        <f t="shared" si="54"/>
        <v>83</v>
      </c>
      <c r="C83" t="s">
        <v>371</v>
      </c>
      <c r="D83" s="68">
        <f>+(D85+SUM(D87:D88))*5%</f>
        <v>11208550953</v>
      </c>
      <c r="E83" s="68">
        <f>+D83/(D$80*12)</f>
        <v>23991.110696581305</v>
      </c>
      <c r="F83" s="68">
        <f>+(F85+SUM(F87:F88))*5%</f>
        <v>3187095597.7000003</v>
      </c>
      <c r="G83" s="68">
        <f>+F83/(F$80*12)</f>
        <v>29105.895869406395</v>
      </c>
      <c r="H83" s="68">
        <f>+(H85+SUM(H87:H88))*5%</f>
        <v>837656588.80000007</v>
      </c>
      <c r="I83" s="68">
        <f t="shared" ref="G83:I88" si="58">+H83/(H$80*12)</f>
        <v>229620.77543859652</v>
      </c>
      <c r="J83" s="68">
        <f t="shared" ref="J83:J84" si="59">+E83</f>
        <v>23991.110696581305</v>
      </c>
      <c r="K83" s="68">
        <f t="shared" ref="K83:K84" si="60">+G83</f>
        <v>29105.895869406395</v>
      </c>
      <c r="L83" s="68">
        <f t="shared" ref="L83" si="61">+MAX(E83,G83,I83)</f>
        <v>229620.77543859652</v>
      </c>
      <c r="M83" s="77">
        <f>+IF('Fichas técnicas Tecnologías'!$X$3&lt;=$H$2*12,I83,IF(AND('Fichas técnicas Tecnologías'!$X$3&gt;$H$2*12,'Fichas técnicas Tecnologías'!$X$3&lt;=$F$2*12),G83,E83))</f>
        <v>23991.110696581305</v>
      </c>
      <c r="N83" s="72">
        <f>ROUND('Fichas técnicas Tecnologías'!$X$9*M83,-6)</f>
        <v>11996000000</v>
      </c>
      <c r="P83" s="72"/>
    </row>
    <row r="84" spans="1:16" x14ac:dyDescent="0.25">
      <c r="B84" s="88">
        <f t="shared" si="54"/>
        <v>84</v>
      </c>
      <c r="C84" t="s">
        <v>372</v>
      </c>
      <c r="D84" s="68">
        <v>386924233</v>
      </c>
      <c r="E84" s="68">
        <f t="shared" ref="E84" si="62">+D84/($D$80*12)</f>
        <v>828.18395919485613</v>
      </c>
      <c r="F84" s="68">
        <v>193740491</v>
      </c>
      <c r="G84" s="68">
        <f t="shared" si="58"/>
        <v>1769.3195525114156</v>
      </c>
      <c r="H84" s="68">
        <v>23607687</v>
      </c>
      <c r="I84" s="68">
        <f t="shared" si="58"/>
        <v>6471.4054276315792</v>
      </c>
      <c r="J84" s="68">
        <f t="shared" si="59"/>
        <v>828.18395919485613</v>
      </c>
      <c r="K84" s="68">
        <f t="shared" si="60"/>
        <v>1769.3195525114156</v>
      </c>
      <c r="L84" s="68">
        <f t="shared" ref="L84" si="63">+MAX(E84,G84,I84)</f>
        <v>6471.4054276315792</v>
      </c>
      <c r="M84" s="77">
        <f>+IF('Fichas técnicas Tecnologías'!$X$3&lt;=$H$2*12,I84,IF(AND('Fichas técnicas Tecnologías'!$X$3&gt;$H$2*12,'Fichas técnicas Tecnologías'!$X$3&lt;=$F$2*12),G84,E84))</f>
        <v>828.18395919485613</v>
      </c>
      <c r="N84" s="72">
        <f>ROUND('Fichas técnicas Tecnologías'!$X$9*M84,-6)</f>
        <v>414000000</v>
      </c>
      <c r="P84" s="72"/>
    </row>
    <row r="85" spans="1:16" x14ac:dyDescent="0.25">
      <c r="B85" s="88">
        <f t="shared" si="54"/>
        <v>85</v>
      </c>
      <c r="C85" t="s">
        <v>373</v>
      </c>
      <c r="D85" s="68">
        <v>27471156057</v>
      </c>
      <c r="E85" s="68">
        <f t="shared" ref="E85" si="64">+D85/($D$80*12)</f>
        <v>58800.066903398147</v>
      </c>
      <c r="F85" s="68">
        <v>12877104402</v>
      </c>
      <c r="G85" s="68">
        <f t="shared" si="58"/>
        <v>117599.1269589041</v>
      </c>
      <c r="H85" s="68">
        <v>3527973809</v>
      </c>
      <c r="I85" s="68">
        <f t="shared" ref="I85" si="65">+H85/(H$80*12)</f>
        <v>967098.08360745618</v>
      </c>
      <c r="J85" s="68">
        <f t="shared" ref="J85" si="66">+E85</f>
        <v>58800.066903398147</v>
      </c>
      <c r="K85" s="68">
        <f t="shared" ref="K85" si="67">+G85</f>
        <v>117599.1269589041</v>
      </c>
      <c r="L85" s="68">
        <f t="shared" ref="L85" si="68">+MAX(E85,G85,I85)</f>
        <v>967098.08360745618</v>
      </c>
      <c r="M85" s="77">
        <f>+IF('Fichas técnicas Tecnologías'!$X$3&lt;=$H$2*12,I85,IF(AND('Fichas técnicas Tecnologías'!$X$3&gt;$H$2*12,'Fichas técnicas Tecnologías'!$X$3&lt;=$F$2*12),G85,E85))</f>
        <v>58800.066903398147</v>
      </c>
      <c r="N85" s="72">
        <f>ROUND('Fichas técnicas Tecnologías'!$X$9*M85,-6)</f>
        <v>29400000000</v>
      </c>
      <c r="P85" s="72"/>
    </row>
    <row r="86" spans="1:16" x14ac:dyDescent="0.25">
      <c r="B86" s="88">
        <f t="shared" si="54"/>
        <v>86</v>
      </c>
      <c r="C86" t="s">
        <v>374</v>
      </c>
      <c r="D86" s="68"/>
      <c r="E86" s="68"/>
      <c r="F86" s="68"/>
      <c r="G86" s="68"/>
      <c r="H86" s="68"/>
      <c r="I86" s="68"/>
      <c r="J86" s="68"/>
      <c r="K86" s="68"/>
      <c r="L86" s="68"/>
      <c r="N86" s="72"/>
      <c r="P86" s="72"/>
    </row>
    <row r="87" spans="1:16" x14ac:dyDescent="0.25">
      <c r="B87" s="88">
        <f t="shared" si="54"/>
        <v>87</v>
      </c>
      <c r="C87" t="s">
        <v>393</v>
      </c>
      <c r="D87" s="68">
        <v>196493548397</v>
      </c>
      <c r="E87" s="68">
        <f>+D87/($D$80*12)</f>
        <v>420580.54520372604</v>
      </c>
      <c r="F87" s="68">
        <v>50658492946</v>
      </c>
      <c r="G87" s="68">
        <f t="shared" si="58"/>
        <v>462634.63877625571</v>
      </c>
      <c r="H87" s="68">
        <v>13122000664</v>
      </c>
      <c r="I87" s="68">
        <f t="shared" ref="I87" si="69">+H87/(H$80*12)</f>
        <v>3597039.6557017546</v>
      </c>
      <c r="J87" s="68">
        <f>+E87</f>
        <v>420580.54520372604</v>
      </c>
      <c r="K87" s="68">
        <f>+G87</f>
        <v>462634.63877625571</v>
      </c>
      <c r="L87" s="68">
        <f t="shared" ref="L87" si="70">+MAX(E87,G87,I87)</f>
        <v>3597039.6557017546</v>
      </c>
      <c r="M87" s="77">
        <f>+IF('Fichas técnicas Tecnologías'!$X$3&lt;=$H$2*12,I87,IF(AND('Fichas técnicas Tecnologías'!$X$3&gt;$H$2*12,'Fichas técnicas Tecnologías'!$X$3&lt;=$F$2*12),G87,E87))</f>
        <v>420580.54520372604</v>
      </c>
      <c r="N87" s="72">
        <f>ROUND('Fichas técnicas Tecnologías'!$X$9*M87,-6)</f>
        <v>210290000000</v>
      </c>
      <c r="P87" s="72"/>
    </row>
    <row r="88" spans="1:16" x14ac:dyDescent="0.25">
      <c r="B88" s="88">
        <f t="shared" si="54"/>
        <v>88</v>
      </c>
      <c r="C88" t="s">
        <v>385</v>
      </c>
      <c r="D88" s="68">
        <v>206314606</v>
      </c>
      <c r="E88" s="68">
        <f>+D88/($D$80*12)</f>
        <v>441.60182450192212</v>
      </c>
      <c r="F88" s="68">
        <v>206314606</v>
      </c>
      <c r="G88" s="68">
        <f t="shared" si="58"/>
        <v>1884.1516529680366</v>
      </c>
      <c r="H88" s="68">
        <v>103157303</v>
      </c>
      <c r="I88" s="68">
        <f t="shared" ref="I88" si="71">+H88/(H$80*12)</f>
        <v>28277.769462719298</v>
      </c>
      <c r="J88" s="68"/>
      <c r="K88" s="68"/>
      <c r="L88" s="68"/>
      <c r="M88" s="77">
        <f>+IF('Fichas técnicas Tecnologías'!$X$3&lt;=$H$2*12,I88,IF(AND('Fichas técnicas Tecnologías'!$X$3&gt;$H$2*12,'Fichas técnicas Tecnologías'!$X$3&lt;=$F$2*12),G88,E88))</f>
        <v>441.60182450192212</v>
      </c>
      <c r="N88" s="72">
        <f>IF('Fichas técnicas Tecnologías'!$X$9&lt;=$H$41*12,H88,IF(AND('Fichas técnicas Tecnologías'!$X$9&gt;$H$41*12,'Fichas técnicas Tecnologías'!$X$9&lt;=$F$41*12),F88,D88))</f>
        <v>206314606</v>
      </c>
      <c r="P88" s="72"/>
    </row>
    <row r="89" spans="1:16" x14ac:dyDescent="0.25">
      <c r="B89" s="88">
        <f t="shared" si="54"/>
        <v>89</v>
      </c>
      <c r="C89" t="s">
        <v>383</v>
      </c>
      <c r="D89" s="68"/>
      <c r="F89" s="68"/>
      <c r="H89" s="68"/>
      <c r="N89" s="73">
        <f>SUM(N83:N88)</f>
        <v>252306314606</v>
      </c>
      <c r="P89" s="73"/>
    </row>
    <row r="90" spans="1:16" x14ac:dyDescent="0.25">
      <c r="B90" s="88">
        <f t="shared" si="54"/>
        <v>90</v>
      </c>
      <c r="N90" s="97"/>
      <c r="P90" s="97"/>
    </row>
    <row r="91" spans="1:16" x14ac:dyDescent="0.25">
      <c r="B91" s="88">
        <f t="shared" si="54"/>
        <v>91</v>
      </c>
    </row>
    <row r="92" spans="1:16" x14ac:dyDescent="0.25">
      <c r="B92" s="88">
        <f t="shared" si="54"/>
        <v>92</v>
      </c>
    </row>
    <row r="93" spans="1:16" x14ac:dyDescent="0.25">
      <c r="B93" s="88">
        <f t="shared" si="54"/>
        <v>93</v>
      </c>
    </row>
    <row r="94" spans="1:16" x14ac:dyDescent="0.25">
      <c r="B94" s="88">
        <f t="shared" si="54"/>
        <v>94</v>
      </c>
    </row>
    <row r="95" spans="1:16" x14ac:dyDescent="0.25">
      <c r="B95" s="88">
        <f t="shared" si="54"/>
        <v>95</v>
      </c>
    </row>
    <row r="96" spans="1:16" x14ac:dyDescent="0.25">
      <c r="B96" s="88">
        <f t="shared" si="54"/>
        <v>96</v>
      </c>
    </row>
    <row r="97" spans="2:2" x14ac:dyDescent="0.25">
      <c r="B97" s="88">
        <f t="shared" si="54"/>
        <v>97</v>
      </c>
    </row>
    <row r="98" spans="2:2" x14ac:dyDescent="0.25">
      <c r="B98" s="88">
        <f t="shared" si="54"/>
        <v>98</v>
      </c>
    </row>
    <row r="99" spans="2:2" x14ac:dyDescent="0.25">
      <c r="B99" s="88">
        <f t="shared" si="54"/>
        <v>99</v>
      </c>
    </row>
    <row r="100" spans="2:2" x14ac:dyDescent="0.25">
      <c r="B100" s="88">
        <f t="shared" si="54"/>
        <v>100</v>
      </c>
    </row>
    <row r="101" spans="2:2" x14ac:dyDescent="0.25">
      <c r="B101" s="88">
        <f t="shared" si="54"/>
        <v>101</v>
      </c>
    </row>
    <row r="102" spans="2:2" x14ac:dyDescent="0.25">
      <c r="B102" s="88">
        <f t="shared" si="54"/>
        <v>102</v>
      </c>
    </row>
    <row r="103" spans="2:2" x14ac:dyDescent="0.25">
      <c r="B103" s="88">
        <f t="shared" si="54"/>
        <v>103</v>
      </c>
    </row>
    <row r="104" spans="2:2" x14ac:dyDescent="0.25">
      <c r="B104" s="88">
        <f t="shared" si="54"/>
        <v>104</v>
      </c>
    </row>
    <row r="105" spans="2:2" x14ac:dyDescent="0.25">
      <c r="B105" s="88">
        <f t="shared" si="54"/>
        <v>105</v>
      </c>
    </row>
    <row r="106" spans="2:2" x14ac:dyDescent="0.25">
      <c r="B106" s="88">
        <f t="shared" si="54"/>
        <v>106</v>
      </c>
    </row>
    <row r="107" spans="2:2" x14ac:dyDescent="0.25">
      <c r="B107" s="88">
        <f t="shared" si="54"/>
        <v>107</v>
      </c>
    </row>
    <row r="108" spans="2:2" x14ac:dyDescent="0.25">
      <c r="B108" s="88">
        <f t="shared" si="54"/>
        <v>108</v>
      </c>
    </row>
    <row r="109" spans="2:2" x14ac:dyDescent="0.25">
      <c r="B109" s="88">
        <f t="shared" si="54"/>
        <v>109</v>
      </c>
    </row>
    <row r="110" spans="2:2" x14ac:dyDescent="0.25">
      <c r="B110" s="88">
        <f t="shared" si="54"/>
        <v>110</v>
      </c>
    </row>
    <row r="111" spans="2:2" x14ac:dyDescent="0.25">
      <c r="B111" s="88">
        <f t="shared" si="54"/>
        <v>111</v>
      </c>
    </row>
    <row r="112" spans="2:2" x14ac:dyDescent="0.25">
      <c r="B112" s="88">
        <f t="shared" si="54"/>
        <v>112</v>
      </c>
    </row>
    <row r="113" spans="2:2" x14ac:dyDescent="0.25">
      <c r="B113" s="88">
        <f t="shared" si="54"/>
        <v>113</v>
      </c>
    </row>
    <row r="114" spans="2:2" x14ac:dyDescent="0.25">
      <c r="B114" s="88">
        <f t="shared" si="54"/>
        <v>114</v>
      </c>
    </row>
    <row r="115" spans="2:2" x14ac:dyDescent="0.25">
      <c r="B115" s="88">
        <f t="shared" si="54"/>
        <v>115</v>
      </c>
    </row>
    <row r="116" spans="2:2" x14ac:dyDescent="0.25">
      <c r="B116" s="88">
        <f t="shared" si="54"/>
        <v>116</v>
      </c>
    </row>
    <row r="117" spans="2:2" x14ac:dyDescent="0.25">
      <c r="B117" s="88">
        <f t="shared" si="54"/>
        <v>117</v>
      </c>
    </row>
    <row r="118" spans="2:2" x14ac:dyDescent="0.25">
      <c r="B118" s="88">
        <f t="shared" si="54"/>
        <v>118</v>
      </c>
    </row>
    <row r="119" spans="2:2" x14ac:dyDescent="0.25">
      <c r="B119" s="88">
        <f t="shared" si="54"/>
        <v>119</v>
      </c>
    </row>
    <row r="120" spans="2:2" x14ac:dyDescent="0.25">
      <c r="B120" s="88">
        <f t="shared" si="54"/>
        <v>120</v>
      </c>
    </row>
    <row r="121" spans="2:2" x14ac:dyDescent="0.25">
      <c r="B121" s="88">
        <f t="shared" si="54"/>
        <v>121</v>
      </c>
    </row>
    <row r="122" spans="2:2" x14ac:dyDescent="0.25">
      <c r="B122" s="88">
        <f t="shared" si="54"/>
        <v>122</v>
      </c>
    </row>
    <row r="123" spans="2:2" x14ac:dyDescent="0.25">
      <c r="B123" s="88">
        <f t="shared" si="54"/>
        <v>123</v>
      </c>
    </row>
    <row r="124" spans="2:2" x14ac:dyDescent="0.25">
      <c r="B124" s="88">
        <f t="shared" si="54"/>
        <v>124</v>
      </c>
    </row>
    <row r="125" spans="2:2" x14ac:dyDescent="0.25">
      <c r="B125" s="88">
        <f t="shared" si="54"/>
        <v>125</v>
      </c>
    </row>
    <row r="126" spans="2:2" x14ac:dyDescent="0.25">
      <c r="B126" s="88">
        <f t="shared" si="54"/>
        <v>126</v>
      </c>
    </row>
    <row r="127" spans="2:2" x14ac:dyDescent="0.25">
      <c r="B127" s="88">
        <f t="shared" si="54"/>
        <v>127</v>
      </c>
    </row>
    <row r="128" spans="2:2" x14ac:dyDescent="0.25">
      <c r="B128" s="88">
        <f t="shared" si="54"/>
        <v>128</v>
      </c>
    </row>
    <row r="129" spans="2:2" x14ac:dyDescent="0.25">
      <c r="B129" s="88">
        <f t="shared" si="54"/>
        <v>129</v>
      </c>
    </row>
    <row r="130" spans="2:2" x14ac:dyDescent="0.25">
      <c r="B130" s="88">
        <f t="shared" si="54"/>
        <v>130</v>
      </c>
    </row>
    <row r="131" spans="2:2" x14ac:dyDescent="0.25">
      <c r="B131" s="88">
        <f t="shared" si="54"/>
        <v>131</v>
      </c>
    </row>
    <row r="132" spans="2:2" x14ac:dyDescent="0.25">
      <c r="B132" s="88">
        <f t="shared" si="54"/>
        <v>132</v>
      </c>
    </row>
    <row r="133" spans="2:2" x14ac:dyDescent="0.25">
      <c r="B133" s="88">
        <f t="shared" ref="B133:B196" si="72">B132+1</f>
        <v>133</v>
      </c>
    </row>
    <row r="134" spans="2:2" x14ac:dyDescent="0.25">
      <c r="B134" s="88">
        <f t="shared" si="72"/>
        <v>134</v>
      </c>
    </row>
    <row r="135" spans="2:2" x14ac:dyDescent="0.25">
      <c r="B135" s="88">
        <f t="shared" si="72"/>
        <v>135</v>
      </c>
    </row>
    <row r="136" spans="2:2" x14ac:dyDescent="0.25">
      <c r="B136" s="88">
        <f t="shared" si="72"/>
        <v>136</v>
      </c>
    </row>
    <row r="137" spans="2:2" x14ac:dyDescent="0.25">
      <c r="B137" s="88">
        <f t="shared" si="72"/>
        <v>137</v>
      </c>
    </row>
    <row r="138" spans="2:2" x14ac:dyDescent="0.25">
      <c r="B138" s="88">
        <f t="shared" si="72"/>
        <v>138</v>
      </c>
    </row>
    <row r="139" spans="2:2" x14ac:dyDescent="0.25">
      <c r="B139" s="88">
        <f t="shared" si="72"/>
        <v>139</v>
      </c>
    </row>
    <row r="140" spans="2:2" x14ac:dyDescent="0.25">
      <c r="B140" s="88">
        <f t="shared" si="72"/>
        <v>140</v>
      </c>
    </row>
    <row r="141" spans="2:2" x14ac:dyDescent="0.25">
      <c r="B141" s="88">
        <f t="shared" si="72"/>
        <v>141</v>
      </c>
    </row>
    <row r="142" spans="2:2" x14ac:dyDescent="0.25">
      <c r="B142" s="88">
        <f t="shared" si="72"/>
        <v>142</v>
      </c>
    </row>
    <row r="143" spans="2:2" x14ac:dyDescent="0.25">
      <c r="B143" s="88">
        <f t="shared" si="72"/>
        <v>143</v>
      </c>
    </row>
    <row r="144" spans="2:2" x14ac:dyDescent="0.25">
      <c r="B144" s="88">
        <f t="shared" si="72"/>
        <v>144</v>
      </c>
    </row>
    <row r="145" spans="2:2" x14ac:dyDescent="0.25">
      <c r="B145" s="88">
        <f t="shared" si="72"/>
        <v>145</v>
      </c>
    </row>
    <row r="146" spans="2:2" x14ac:dyDescent="0.25">
      <c r="B146" s="88">
        <f t="shared" si="72"/>
        <v>146</v>
      </c>
    </row>
    <row r="147" spans="2:2" x14ac:dyDescent="0.25">
      <c r="B147" s="88">
        <f t="shared" si="72"/>
        <v>147</v>
      </c>
    </row>
    <row r="148" spans="2:2" x14ac:dyDescent="0.25">
      <c r="B148" s="88">
        <f t="shared" si="72"/>
        <v>148</v>
      </c>
    </row>
    <row r="149" spans="2:2" x14ac:dyDescent="0.25">
      <c r="B149" s="88">
        <f t="shared" si="72"/>
        <v>149</v>
      </c>
    </row>
    <row r="150" spans="2:2" x14ac:dyDescent="0.25">
      <c r="B150" s="88">
        <f t="shared" si="72"/>
        <v>150</v>
      </c>
    </row>
    <row r="151" spans="2:2" x14ac:dyDescent="0.25">
      <c r="B151" s="88">
        <f t="shared" si="72"/>
        <v>151</v>
      </c>
    </row>
    <row r="152" spans="2:2" x14ac:dyDescent="0.25">
      <c r="B152" s="88">
        <f t="shared" si="72"/>
        <v>152</v>
      </c>
    </row>
    <row r="153" spans="2:2" x14ac:dyDescent="0.25">
      <c r="B153" s="88">
        <f t="shared" si="72"/>
        <v>153</v>
      </c>
    </row>
    <row r="154" spans="2:2" x14ac:dyDescent="0.25">
      <c r="B154" s="88">
        <f t="shared" si="72"/>
        <v>154</v>
      </c>
    </row>
    <row r="155" spans="2:2" x14ac:dyDescent="0.25">
      <c r="B155" s="88">
        <f t="shared" si="72"/>
        <v>155</v>
      </c>
    </row>
    <row r="156" spans="2:2" x14ac:dyDescent="0.25">
      <c r="B156" s="88">
        <f t="shared" si="72"/>
        <v>156</v>
      </c>
    </row>
    <row r="157" spans="2:2" x14ac:dyDescent="0.25">
      <c r="B157" s="88">
        <f t="shared" si="72"/>
        <v>157</v>
      </c>
    </row>
    <row r="158" spans="2:2" x14ac:dyDescent="0.25">
      <c r="B158" s="88">
        <f t="shared" si="72"/>
        <v>158</v>
      </c>
    </row>
    <row r="159" spans="2:2" x14ac:dyDescent="0.25">
      <c r="B159" s="88">
        <f t="shared" si="72"/>
        <v>159</v>
      </c>
    </row>
    <row r="160" spans="2:2" x14ac:dyDescent="0.25">
      <c r="B160" s="88">
        <f t="shared" si="72"/>
        <v>160</v>
      </c>
    </row>
    <row r="161" spans="2:2" x14ac:dyDescent="0.25">
      <c r="B161" s="88">
        <f t="shared" si="72"/>
        <v>161</v>
      </c>
    </row>
    <row r="162" spans="2:2" x14ac:dyDescent="0.25">
      <c r="B162" s="88">
        <f t="shared" si="72"/>
        <v>162</v>
      </c>
    </row>
    <row r="163" spans="2:2" x14ac:dyDescent="0.25">
      <c r="B163" s="88">
        <f t="shared" si="72"/>
        <v>163</v>
      </c>
    </row>
    <row r="164" spans="2:2" x14ac:dyDescent="0.25">
      <c r="B164" s="88">
        <f t="shared" si="72"/>
        <v>164</v>
      </c>
    </row>
    <row r="165" spans="2:2" x14ac:dyDescent="0.25">
      <c r="B165" s="88">
        <f t="shared" si="72"/>
        <v>165</v>
      </c>
    </row>
    <row r="166" spans="2:2" x14ac:dyDescent="0.25">
      <c r="B166" s="88">
        <f t="shared" si="72"/>
        <v>166</v>
      </c>
    </row>
    <row r="167" spans="2:2" x14ac:dyDescent="0.25">
      <c r="B167" s="88">
        <f t="shared" si="72"/>
        <v>167</v>
      </c>
    </row>
    <row r="168" spans="2:2" x14ac:dyDescent="0.25">
      <c r="B168" s="88">
        <f t="shared" si="72"/>
        <v>168</v>
      </c>
    </row>
    <row r="169" spans="2:2" x14ac:dyDescent="0.25">
      <c r="B169" s="88">
        <f t="shared" si="72"/>
        <v>169</v>
      </c>
    </row>
    <row r="170" spans="2:2" x14ac:dyDescent="0.25">
      <c r="B170" s="88">
        <f t="shared" si="72"/>
        <v>170</v>
      </c>
    </row>
    <row r="171" spans="2:2" x14ac:dyDescent="0.25">
      <c r="B171" s="88">
        <f t="shared" si="72"/>
        <v>171</v>
      </c>
    </row>
    <row r="172" spans="2:2" x14ac:dyDescent="0.25">
      <c r="B172" s="88">
        <f t="shared" si="72"/>
        <v>172</v>
      </c>
    </row>
    <row r="173" spans="2:2" x14ac:dyDescent="0.25">
      <c r="B173" s="88">
        <f t="shared" si="72"/>
        <v>173</v>
      </c>
    </row>
    <row r="174" spans="2:2" x14ac:dyDescent="0.25">
      <c r="B174" s="88">
        <f t="shared" si="72"/>
        <v>174</v>
      </c>
    </row>
    <row r="175" spans="2:2" x14ac:dyDescent="0.25">
      <c r="B175" s="88">
        <f t="shared" si="72"/>
        <v>175</v>
      </c>
    </row>
    <row r="176" spans="2:2" x14ac:dyDescent="0.25">
      <c r="B176" s="88">
        <f t="shared" si="72"/>
        <v>176</v>
      </c>
    </row>
    <row r="177" spans="2:2" x14ac:dyDescent="0.25">
      <c r="B177" s="88">
        <f t="shared" si="72"/>
        <v>177</v>
      </c>
    </row>
    <row r="178" spans="2:2" x14ac:dyDescent="0.25">
      <c r="B178" s="88">
        <f t="shared" si="72"/>
        <v>178</v>
      </c>
    </row>
    <row r="179" spans="2:2" x14ac:dyDescent="0.25">
      <c r="B179" s="88">
        <f t="shared" si="72"/>
        <v>179</v>
      </c>
    </row>
    <row r="180" spans="2:2" x14ac:dyDescent="0.25">
      <c r="B180" s="88">
        <f t="shared" si="72"/>
        <v>180</v>
      </c>
    </row>
    <row r="181" spans="2:2" x14ac:dyDescent="0.25">
      <c r="B181" s="88">
        <f t="shared" si="72"/>
        <v>181</v>
      </c>
    </row>
    <row r="182" spans="2:2" x14ac:dyDescent="0.25">
      <c r="B182" s="88">
        <f t="shared" si="72"/>
        <v>182</v>
      </c>
    </row>
    <row r="183" spans="2:2" x14ac:dyDescent="0.25">
      <c r="B183" s="88">
        <f t="shared" si="72"/>
        <v>183</v>
      </c>
    </row>
    <row r="184" spans="2:2" x14ac:dyDescent="0.25">
      <c r="B184" s="88">
        <f t="shared" si="72"/>
        <v>184</v>
      </c>
    </row>
    <row r="185" spans="2:2" x14ac:dyDescent="0.25">
      <c r="B185" s="88">
        <f t="shared" si="72"/>
        <v>185</v>
      </c>
    </row>
    <row r="186" spans="2:2" x14ac:dyDescent="0.25">
      <c r="B186" s="88">
        <f t="shared" si="72"/>
        <v>186</v>
      </c>
    </row>
    <row r="187" spans="2:2" x14ac:dyDescent="0.25">
      <c r="B187" s="88">
        <f t="shared" si="72"/>
        <v>187</v>
      </c>
    </row>
    <row r="188" spans="2:2" x14ac:dyDescent="0.25">
      <c r="B188" s="88">
        <f t="shared" si="72"/>
        <v>188</v>
      </c>
    </row>
    <row r="189" spans="2:2" x14ac:dyDescent="0.25">
      <c r="B189" s="88">
        <f t="shared" si="72"/>
        <v>189</v>
      </c>
    </row>
    <row r="190" spans="2:2" x14ac:dyDescent="0.25">
      <c r="B190" s="88">
        <f t="shared" si="72"/>
        <v>190</v>
      </c>
    </row>
    <row r="191" spans="2:2" x14ac:dyDescent="0.25">
      <c r="B191" s="88">
        <f t="shared" si="72"/>
        <v>191</v>
      </c>
    </row>
    <row r="192" spans="2:2" x14ac:dyDescent="0.25">
      <c r="B192" s="88">
        <f t="shared" si="72"/>
        <v>192</v>
      </c>
    </row>
    <row r="193" spans="2:2" x14ac:dyDescent="0.25">
      <c r="B193" s="88">
        <f t="shared" si="72"/>
        <v>193</v>
      </c>
    </row>
    <row r="194" spans="2:2" x14ac:dyDescent="0.25">
      <c r="B194" s="88">
        <f t="shared" si="72"/>
        <v>194</v>
      </c>
    </row>
    <row r="195" spans="2:2" x14ac:dyDescent="0.25">
      <c r="B195" s="88">
        <f t="shared" si="72"/>
        <v>195</v>
      </c>
    </row>
    <row r="196" spans="2:2" x14ac:dyDescent="0.25">
      <c r="B196" s="88">
        <f t="shared" si="72"/>
        <v>196</v>
      </c>
    </row>
    <row r="197" spans="2:2" x14ac:dyDescent="0.25">
      <c r="B197" s="88">
        <f t="shared" ref="B197:B260" si="73">B196+1</f>
        <v>197</v>
      </c>
    </row>
    <row r="198" spans="2:2" x14ac:dyDescent="0.25">
      <c r="B198" s="88">
        <f t="shared" si="73"/>
        <v>198</v>
      </c>
    </row>
    <row r="199" spans="2:2" x14ac:dyDescent="0.25">
      <c r="B199" s="88">
        <f t="shared" si="73"/>
        <v>199</v>
      </c>
    </row>
    <row r="200" spans="2:2" x14ac:dyDescent="0.25">
      <c r="B200" s="88">
        <f t="shared" si="73"/>
        <v>200</v>
      </c>
    </row>
    <row r="201" spans="2:2" x14ac:dyDescent="0.25">
      <c r="B201" s="88">
        <f t="shared" si="73"/>
        <v>201</v>
      </c>
    </row>
    <row r="202" spans="2:2" x14ac:dyDescent="0.25">
      <c r="B202" s="88">
        <f t="shared" si="73"/>
        <v>202</v>
      </c>
    </row>
    <row r="203" spans="2:2" x14ac:dyDescent="0.25">
      <c r="B203" s="88">
        <f t="shared" si="73"/>
        <v>203</v>
      </c>
    </row>
    <row r="204" spans="2:2" x14ac:dyDescent="0.25">
      <c r="B204" s="88">
        <f t="shared" si="73"/>
        <v>204</v>
      </c>
    </row>
    <row r="205" spans="2:2" x14ac:dyDescent="0.25">
      <c r="B205" s="88">
        <f t="shared" si="73"/>
        <v>205</v>
      </c>
    </row>
    <row r="206" spans="2:2" x14ac:dyDescent="0.25">
      <c r="B206" s="88">
        <f t="shared" si="73"/>
        <v>206</v>
      </c>
    </row>
    <row r="207" spans="2:2" x14ac:dyDescent="0.25">
      <c r="B207" s="88">
        <f t="shared" si="73"/>
        <v>207</v>
      </c>
    </row>
    <row r="208" spans="2:2" x14ac:dyDescent="0.25">
      <c r="B208" s="88">
        <f t="shared" si="73"/>
        <v>208</v>
      </c>
    </row>
    <row r="209" spans="2:2" x14ac:dyDescent="0.25">
      <c r="B209" s="88">
        <f t="shared" si="73"/>
        <v>209</v>
      </c>
    </row>
    <row r="210" spans="2:2" x14ac:dyDescent="0.25">
      <c r="B210" s="88">
        <f t="shared" si="73"/>
        <v>210</v>
      </c>
    </row>
    <row r="211" spans="2:2" x14ac:dyDescent="0.25">
      <c r="B211" s="88">
        <f t="shared" si="73"/>
        <v>211</v>
      </c>
    </row>
    <row r="212" spans="2:2" x14ac:dyDescent="0.25">
      <c r="B212" s="88">
        <f t="shared" si="73"/>
        <v>212</v>
      </c>
    </row>
    <row r="213" spans="2:2" x14ac:dyDescent="0.25">
      <c r="B213" s="88">
        <f t="shared" si="73"/>
        <v>213</v>
      </c>
    </row>
    <row r="214" spans="2:2" x14ac:dyDescent="0.25">
      <c r="B214" s="88">
        <f t="shared" si="73"/>
        <v>214</v>
      </c>
    </row>
    <row r="215" spans="2:2" x14ac:dyDescent="0.25">
      <c r="B215" s="88">
        <f t="shared" si="73"/>
        <v>215</v>
      </c>
    </row>
    <row r="216" spans="2:2" x14ac:dyDescent="0.25">
      <c r="B216" s="88">
        <f t="shared" si="73"/>
        <v>216</v>
      </c>
    </row>
    <row r="217" spans="2:2" x14ac:dyDescent="0.25">
      <c r="B217" s="88">
        <f t="shared" si="73"/>
        <v>217</v>
      </c>
    </row>
    <row r="218" spans="2:2" x14ac:dyDescent="0.25">
      <c r="B218" s="88">
        <f t="shared" si="73"/>
        <v>218</v>
      </c>
    </row>
    <row r="219" spans="2:2" x14ac:dyDescent="0.25">
      <c r="B219" s="88">
        <f t="shared" si="73"/>
        <v>219</v>
      </c>
    </row>
    <row r="220" spans="2:2" x14ac:dyDescent="0.25">
      <c r="B220" s="88">
        <f t="shared" si="73"/>
        <v>220</v>
      </c>
    </row>
    <row r="221" spans="2:2" x14ac:dyDescent="0.25">
      <c r="B221" s="88">
        <f t="shared" si="73"/>
        <v>221</v>
      </c>
    </row>
    <row r="222" spans="2:2" x14ac:dyDescent="0.25">
      <c r="B222" s="88">
        <f t="shared" si="73"/>
        <v>222</v>
      </c>
    </row>
    <row r="223" spans="2:2" x14ac:dyDescent="0.25">
      <c r="B223" s="88">
        <f t="shared" si="73"/>
        <v>223</v>
      </c>
    </row>
    <row r="224" spans="2:2" x14ac:dyDescent="0.25">
      <c r="B224" s="88">
        <f t="shared" si="73"/>
        <v>224</v>
      </c>
    </row>
    <row r="225" spans="2:2" x14ac:dyDescent="0.25">
      <c r="B225" s="88">
        <f t="shared" si="73"/>
        <v>225</v>
      </c>
    </row>
    <row r="226" spans="2:2" x14ac:dyDescent="0.25">
      <c r="B226" s="88">
        <f t="shared" si="73"/>
        <v>226</v>
      </c>
    </row>
    <row r="227" spans="2:2" x14ac:dyDescent="0.25">
      <c r="B227" s="88">
        <f t="shared" si="73"/>
        <v>227</v>
      </c>
    </row>
    <row r="228" spans="2:2" x14ac:dyDescent="0.25">
      <c r="B228" s="88">
        <f t="shared" si="73"/>
        <v>228</v>
      </c>
    </row>
    <row r="229" spans="2:2" x14ac:dyDescent="0.25">
      <c r="B229" s="88">
        <f t="shared" si="73"/>
        <v>229</v>
      </c>
    </row>
    <row r="230" spans="2:2" x14ac:dyDescent="0.25">
      <c r="B230" s="88">
        <f t="shared" si="73"/>
        <v>230</v>
      </c>
    </row>
    <row r="231" spans="2:2" x14ac:dyDescent="0.25">
      <c r="B231" s="88">
        <f t="shared" si="73"/>
        <v>231</v>
      </c>
    </row>
    <row r="232" spans="2:2" x14ac:dyDescent="0.25">
      <c r="B232" s="88">
        <f t="shared" si="73"/>
        <v>232</v>
      </c>
    </row>
    <row r="233" spans="2:2" x14ac:dyDescent="0.25">
      <c r="B233" s="88">
        <f t="shared" si="73"/>
        <v>233</v>
      </c>
    </row>
    <row r="234" spans="2:2" x14ac:dyDescent="0.25">
      <c r="B234" s="88">
        <f t="shared" si="73"/>
        <v>234</v>
      </c>
    </row>
    <row r="235" spans="2:2" x14ac:dyDescent="0.25">
      <c r="B235" s="88">
        <f t="shared" si="73"/>
        <v>235</v>
      </c>
    </row>
    <row r="236" spans="2:2" x14ac:dyDescent="0.25">
      <c r="B236" s="88">
        <f t="shared" si="73"/>
        <v>236</v>
      </c>
    </row>
    <row r="237" spans="2:2" x14ac:dyDescent="0.25">
      <c r="B237" s="88">
        <f t="shared" si="73"/>
        <v>237</v>
      </c>
    </row>
    <row r="238" spans="2:2" x14ac:dyDescent="0.25">
      <c r="B238" s="88">
        <f t="shared" si="73"/>
        <v>238</v>
      </c>
    </row>
    <row r="239" spans="2:2" x14ac:dyDescent="0.25">
      <c r="B239" s="88">
        <f t="shared" si="73"/>
        <v>239</v>
      </c>
    </row>
    <row r="240" spans="2:2" x14ac:dyDescent="0.25">
      <c r="B240" s="88">
        <f t="shared" si="73"/>
        <v>240</v>
      </c>
    </row>
    <row r="241" spans="2:2" x14ac:dyDescent="0.25">
      <c r="B241" s="88">
        <f t="shared" si="73"/>
        <v>241</v>
      </c>
    </row>
    <row r="242" spans="2:2" x14ac:dyDescent="0.25">
      <c r="B242" s="88">
        <f t="shared" si="73"/>
        <v>242</v>
      </c>
    </row>
    <row r="243" spans="2:2" x14ac:dyDescent="0.25">
      <c r="B243" s="88">
        <f t="shared" si="73"/>
        <v>243</v>
      </c>
    </row>
    <row r="244" spans="2:2" x14ac:dyDescent="0.25">
      <c r="B244" s="88">
        <f t="shared" si="73"/>
        <v>244</v>
      </c>
    </row>
    <row r="245" spans="2:2" x14ac:dyDescent="0.25">
      <c r="B245" s="88">
        <f t="shared" si="73"/>
        <v>245</v>
      </c>
    </row>
    <row r="246" spans="2:2" x14ac:dyDescent="0.25">
      <c r="B246" s="88">
        <f t="shared" si="73"/>
        <v>246</v>
      </c>
    </row>
    <row r="247" spans="2:2" x14ac:dyDescent="0.25">
      <c r="B247" s="88">
        <f t="shared" si="73"/>
        <v>247</v>
      </c>
    </row>
    <row r="248" spans="2:2" x14ac:dyDescent="0.25">
      <c r="B248" s="88">
        <f t="shared" si="73"/>
        <v>248</v>
      </c>
    </row>
    <row r="249" spans="2:2" x14ac:dyDescent="0.25">
      <c r="B249" s="88">
        <f t="shared" si="73"/>
        <v>249</v>
      </c>
    </row>
    <row r="250" spans="2:2" x14ac:dyDescent="0.25">
      <c r="B250" s="88">
        <f t="shared" si="73"/>
        <v>250</v>
      </c>
    </row>
    <row r="251" spans="2:2" x14ac:dyDescent="0.25">
      <c r="B251" s="88">
        <f t="shared" si="73"/>
        <v>251</v>
      </c>
    </row>
    <row r="252" spans="2:2" x14ac:dyDescent="0.25">
      <c r="B252" s="88">
        <f t="shared" si="73"/>
        <v>252</v>
      </c>
    </row>
    <row r="253" spans="2:2" x14ac:dyDescent="0.25">
      <c r="B253" s="88">
        <f t="shared" si="73"/>
        <v>253</v>
      </c>
    </row>
    <row r="254" spans="2:2" x14ac:dyDescent="0.25">
      <c r="B254" s="88">
        <f t="shared" si="73"/>
        <v>254</v>
      </c>
    </row>
    <row r="255" spans="2:2" x14ac:dyDescent="0.25">
      <c r="B255" s="88">
        <f t="shared" si="73"/>
        <v>255</v>
      </c>
    </row>
    <row r="256" spans="2:2" x14ac:dyDescent="0.25">
      <c r="B256" s="88">
        <f t="shared" si="73"/>
        <v>256</v>
      </c>
    </row>
    <row r="257" spans="2:2" x14ac:dyDescent="0.25">
      <c r="B257" s="88">
        <f t="shared" si="73"/>
        <v>257</v>
      </c>
    </row>
    <row r="258" spans="2:2" x14ac:dyDescent="0.25">
      <c r="B258" s="88">
        <f t="shared" si="73"/>
        <v>258</v>
      </c>
    </row>
    <row r="259" spans="2:2" x14ac:dyDescent="0.25">
      <c r="B259" s="88">
        <f t="shared" si="73"/>
        <v>259</v>
      </c>
    </row>
    <row r="260" spans="2:2" x14ac:dyDescent="0.25">
      <c r="B260" s="88">
        <f t="shared" si="73"/>
        <v>260</v>
      </c>
    </row>
    <row r="261" spans="2:2" x14ac:dyDescent="0.25">
      <c r="B261" s="88">
        <f t="shared" ref="B261:B324" si="74">B260+1</f>
        <v>261</v>
      </c>
    </row>
    <row r="262" spans="2:2" x14ac:dyDescent="0.25">
      <c r="B262" s="88">
        <f t="shared" si="74"/>
        <v>262</v>
      </c>
    </row>
    <row r="263" spans="2:2" x14ac:dyDescent="0.25">
      <c r="B263" s="88">
        <f t="shared" si="74"/>
        <v>263</v>
      </c>
    </row>
    <row r="264" spans="2:2" x14ac:dyDescent="0.25">
      <c r="B264" s="88">
        <f t="shared" si="74"/>
        <v>264</v>
      </c>
    </row>
    <row r="265" spans="2:2" x14ac:dyDescent="0.25">
      <c r="B265" s="88">
        <f t="shared" si="74"/>
        <v>265</v>
      </c>
    </row>
    <row r="266" spans="2:2" x14ac:dyDescent="0.25">
      <c r="B266" s="88">
        <f t="shared" si="74"/>
        <v>266</v>
      </c>
    </row>
    <row r="267" spans="2:2" x14ac:dyDescent="0.25">
      <c r="B267" s="88">
        <f t="shared" si="74"/>
        <v>267</v>
      </c>
    </row>
    <row r="268" spans="2:2" x14ac:dyDescent="0.25">
      <c r="B268" s="88">
        <f t="shared" si="74"/>
        <v>268</v>
      </c>
    </row>
    <row r="269" spans="2:2" x14ac:dyDescent="0.25">
      <c r="B269" s="88">
        <f t="shared" si="74"/>
        <v>269</v>
      </c>
    </row>
    <row r="270" spans="2:2" x14ac:dyDescent="0.25">
      <c r="B270" s="88">
        <f t="shared" si="74"/>
        <v>270</v>
      </c>
    </row>
    <row r="271" spans="2:2" x14ac:dyDescent="0.25">
      <c r="B271" s="88">
        <f t="shared" si="74"/>
        <v>271</v>
      </c>
    </row>
    <row r="272" spans="2:2" x14ac:dyDescent="0.25">
      <c r="B272" s="88">
        <f t="shared" si="74"/>
        <v>272</v>
      </c>
    </row>
    <row r="273" spans="2:2" x14ac:dyDescent="0.25">
      <c r="B273" s="88">
        <f t="shared" si="74"/>
        <v>273</v>
      </c>
    </row>
    <row r="274" spans="2:2" x14ac:dyDescent="0.25">
      <c r="B274" s="88">
        <f t="shared" si="74"/>
        <v>274</v>
      </c>
    </row>
    <row r="275" spans="2:2" x14ac:dyDescent="0.25">
      <c r="B275" s="88">
        <f t="shared" si="74"/>
        <v>275</v>
      </c>
    </row>
    <row r="276" spans="2:2" x14ac:dyDescent="0.25">
      <c r="B276" s="88">
        <f t="shared" si="74"/>
        <v>276</v>
      </c>
    </row>
    <row r="277" spans="2:2" x14ac:dyDescent="0.25">
      <c r="B277" s="88">
        <f t="shared" si="74"/>
        <v>277</v>
      </c>
    </row>
    <row r="278" spans="2:2" x14ac:dyDescent="0.25">
      <c r="B278" s="88">
        <f t="shared" si="74"/>
        <v>278</v>
      </c>
    </row>
    <row r="279" spans="2:2" x14ac:dyDescent="0.25">
      <c r="B279" s="88">
        <f t="shared" si="74"/>
        <v>279</v>
      </c>
    </row>
    <row r="280" spans="2:2" x14ac:dyDescent="0.25">
      <c r="B280" s="88">
        <f t="shared" si="74"/>
        <v>280</v>
      </c>
    </row>
    <row r="281" spans="2:2" x14ac:dyDescent="0.25">
      <c r="B281" s="88">
        <f t="shared" si="74"/>
        <v>281</v>
      </c>
    </row>
    <row r="282" spans="2:2" x14ac:dyDescent="0.25">
      <c r="B282" s="88">
        <f t="shared" si="74"/>
        <v>282</v>
      </c>
    </row>
    <row r="283" spans="2:2" x14ac:dyDescent="0.25">
      <c r="B283" s="88">
        <f t="shared" si="74"/>
        <v>283</v>
      </c>
    </row>
    <row r="284" spans="2:2" x14ac:dyDescent="0.25">
      <c r="B284" s="88">
        <f t="shared" si="74"/>
        <v>284</v>
      </c>
    </row>
    <row r="285" spans="2:2" x14ac:dyDescent="0.25">
      <c r="B285" s="88">
        <f t="shared" si="74"/>
        <v>285</v>
      </c>
    </row>
    <row r="286" spans="2:2" x14ac:dyDescent="0.25">
      <c r="B286" s="88">
        <f t="shared" si="74"/>
        <v>286</v>
      </c>
    </row>
    <row r="287" spans="2:2" x14ac:dyDescent="0.25">
      <c r="B287" s="88">
        <f t="shared" si="74"/>
        <v>287</v>
      </c>
    </row>
    <row r="288" spans="2:2" x14ac:dyDescent="0.25">
      <c r="B288" s="88">
        <f t="shared" si="74"/>
        <v>288</v>
      </c>
    </row>
    <row r="289" spans="2:2" x14ac:dyDescent="0.25">
      <c r="B289" s="88">
        <f t="shared" si="74"/>
        <v>289</v>
      </c>
    </row>
    <row r="290" spans="2:2" x14ac:dyDescent="0.25">
      <c r="B290" s="88">
        <f t="shared" si="74"/>
        <v>290</v>
      </c>
    </row>
    <row r="291" spans="2:2" x14ac:dyDescent="0.25">
      <c r="B291" s="88">
        <f t="shared" si="74"/>
        <v>291</v>
      </c>
    </row>
    <row r="292" spans="2:2" x14ac:dyDescent="0.25">
      <c r="B292" s="88">
        <f t="shared" si="74"/>
        <v>292</v>
      </c>
    </row>
    <row r="293" spans="2:2" x14ac:dyDescent="0.25">
      <c r="B293" s="88">
        <f t="shared" si="74"/>
        <v>293</v>
      </c>
    </row>
    <row r="294" spans="2:2" x14ac:dyDescent="0.25">
      <c r="B294" s="88">
        <f t="shared" si="74"/>
        <v>294</v>
      </c>
    </row>
    <row r="295" spans="2:2" x14ac:dyDescent="0.25">
      <c r="B295" s="88">
        <f t="shared" si="74"/>
        <v>295</v>
      </c>
    </row>
    <row r="296" spans="2:2" x14ac:dyDescent="0.25">
      <c r="B296" s="88">
        <f t="shared" si="74"/>
        <v>296</v>
      </c>
    </row>
    <row r="297" spans="2:2" x14ac:dyDescent="0.25">
      <c r="B297" s="88">
        <f t="shared" si="74"/>
        <v>297</v>
      </c>
    </row>
    <row r="298" spans="2:2" x14ac:dyDescent="0.25">
      <c r="B298" s="88">
        <f t="shared" si="74"/>
        <v>298</v>
      </c>
    </row>
    <row r="299" spans="2:2" x14ac:dyDescent="0.25">
      <c r="B299" s="88">
        <f t="shared" si="74"/>
        <v>299</v>
      </c>
    </row>
    <row r="300" spans="2:2" x14ac:dyDescent="0.25">
      <c r="B300" s="88">
        <f t="shared" si="74"/>
        <v>300</v>
      </c>
    </row>
    <row r="301" spans="2:2" x14ac:dyDescent="0.25">
      <c r="B301" s="88">
        <f t="shared" si="74"/>
        <v>301</v>
      </c>
    </row>
    <row r="302" spans="2:2" x14ac:dyDescent="0.25">
      <c r="B302" s="88">
        <f t="shared" si="74"/>
        <v>302</v>
      </c>
    </row>
    <row r="303" spans="2:2" x14ac:dyDescent="0.25">
      <c r="B303" s="88">
        <f t="shared" si="74"/>
        <v>303</v>
      </c>
    </row>
    <row r="304" spans="2:2" x14ac:dyDescent="0.25">
      <c r="B304" s="88">
        <f t="shared" si="74"/>
        <v>304</v>
      </c>
    </row>
    <row r="305" spans="2:2" x14ac:dyDescent="0.25">
      <c r="B305" s="88">
        <f t="shared" si="74"/>
        <v>305</v>
      </c>
    </row>
    <row r="306" spans="2:2" x14ac:dyDescent="0.25">
      <c r="B306" s="88">
        <f t="shared" si="74"/>
        <v>306</v>
      </c>
    </row>
    <row r="307" spans="2:2" x14ac:dyDescent="0.25">
      <c r="B307" s="88">
        <f t="shared" si="74"/>
        <v>307</v>
      </c>
    </row>
    <row r="308" spans="2:2" x14ac:dyDescent="0.25">
      <c r="B308" s="88">
        <f t="shared" si="74"/>
        <v>308</v>
      </c>
    </row>
    <row r="309" spans="2:2" x14ac:dyDescent="0.25">
      <c r="B309" s="88">
        <f t="shared" si="74"/>
        <v>309</v>
      </c>
    </row>
    <row r="310" spans="2:2" x14ac:dyDescent="0.25">
      <c r="B310" s="88">
        <f t="shared" si="74"/>
        <v>310</v>
      </c>
    </row>
    <row r="311" spans="2:2" x14ac:dyDescent="0.25">
      <c r="B311" s="88">
        <f t="shared" si="74"/>
        <v>311</v>
      </c>
    </row>
    <row r="312" spans="2:2" x14ac:dyDescent="0.25">
      <c r="B312" s="88">
        <f t="shared" si="74"/>
        <v>312</v>
      </c>
    </row>
    <row r="313" spans="2:2" x14ac:dyDescent="0.25">
      <c r="B313" s="88">
        <f t="shared" si="74"/>
        <v>313</v>
      </c>
    </row>
    <row r="314" spans="2:2" x14ac:dyDescent="0.25">
      <c r="B314" s="88">
        <f t="shared" si="74"/>
        <v>314</v>
      </c>
    </row>
    <row r="315" spans="2:2" x14ac:dyDescent="0.25">
      <c r="B315" s="88">
        <f t="shared" si="74"/>
        <v>315</v>
      </c>
    </row>
    <row r="316" spans="2:2" x14ac:dyDescent="0.25">
      <c r="B316" s="88">
        <f t="shared" si="74"/>
        <v>316</v>
      </c>
    </row>
    <row r="317" spans="2:2" x14ac:dyDescent="0.25">
      <c r="B317" s="88">
        <f t="shared" si="74"/>
        <v>317</v>
      </c>
    </row>
    <row r="318" spans="2:2" x14ac:dyDescent="0.25">
      <c r="B318" s="88">
        <f t="shared" si="74"/>
        <v>318</v>
      </c>
    </row>
    <row r="319" spans="2:2" x14ac:dyDescent="0.25">
      <c r="B319" s="88">
        <f t="shared" si="74"/>
        <v>319</v>
      </c>
    </row>
    <row r="320" spans="2:2" x14ac:dyDescent="0.25">
      <c r="B320" s="88">
        <f t="shared" si="74"/>
        <v>320</v>
      </c>
    </row>
    <row r="321" spans="2:2" x14ac:dyDescent="0.25">
      <c r="B321" s="88">
        <f t="shared" si="74"/>
        <v>321</v>
      </c>
    </row>
    <row r="322" spans="2:2" x14ac:dyDescent="0.25">
      <c r="B322" s="88">
        <f t="shared" si="74"/>
        <v>322</v>
      </c>
    </row>
    <row r="323" spans="2:2" x14ac:dyDescent="0.25">
      <c r="B323" s="88">
        <f t="shared" si="74"/>
        <v>323</v>
      </c>
    </row>
    <row r="324" spans="2:2" x14ac:dyDescent="0.25">
      <c r="B324" s="88">
        <f t="shared" si="74"/>
        <v>324</v>
      </c>
    </row>
    <row r="325" spans="2:2" x14ac:dyDescent="0.25">
      <c r="B325" s="88">
        <f t="shared" ref="B325:B388" si="75">B324+1</f>
        <v>325</v>
      </c>
    </row>
    <row r="326" spans="2:2" x14ac:dyDescent="0.25">
      <c r="B326" s="88">
        <f t="shared" si="75"/>
        <v>326</v>
      </c>
    </row>
    <row r="327" spans="2:2" x14ac:dyDescent="0.25">
      <c r="B327" s="88">
        <f t="shared" si="75"/>
        <v>327</v>
      </c>
    </row>
    <row r="328" spans="2:2" x14ac:dyDescent="0.25">
      <c r="B328" s="88">
        <f t="shared" si="75"/>
        <v>328</v>
      </c>
    </row>
    <row r="329" spans="2:2" x14ac:dyDescent="0.25">
      <c r="B329" s="88">
        <f t="shared" si="75"/>
        <v>329</v>
      </c>
    </row>
    <row r="330" spans="2:2" x14ac:dyDescent="0.25">
      <c r="B330" s="88">
        <f t="shared" si="75"/>
        <v>330</v>
      </c>
    </row>
    <row r="331" spans="2:2" x14ac:dyDescent="0.25">
      <c r="B331" s="88">
        <f t="shared" si="75"/>
        <v>331</v>
      </c>
    </row>
    <row r="332" spans="2:2" x14ac:dyDescent="0.25">
      <c r="B332" s="88">
        <f t="shared" si="75"/>
        <v>332</v>
      </c>
    </row>
    <row r="333" spans="2:2" x14ac:dyDescent="0.25">
      <c r="B333" s="88">
        <f t="shared" si="75"/>
        <v>333</v>
      </c>
    </row>
    <row r="334" spans="2:2" x14ac:dyDescent="0.25">
      <c r="B334" s="88">
        <f t="shared" si="75"/>
        <v>334</v>
      </c>
    </row>
    <row r="335" spans="2:2" x14ac:dyDescent="0.25">
      <c r="B335" s="88">
        <f t="shared" si="75"/>
        <v>335</v>
      </c>
    </row>
    <row r="336" spans="2:2" x14ac:dyDescent="0.25">
      <c r="B336" s="88">
        <f t="shared" si="75"/>
        <v>336</v>
      </c>
    </row>
    <row r="337" spans="2:2" x14ac:dyDescent="0.25">
      <c r="B337" s="88">
        <f t="shared" si="75"/>
        <v>337</v>
      </c>
    </row>
    <row r="338" spans="2:2" x14ac:dyDescent="0.25">
      <c r="B338" s="88">
        <f t="shared" si="75"/>
        <v>338</v>
      </c>
    </row>
    <row r="339" spans="2:2" x14ac:dyDescent="0.25">
      <c r="B339" s="88">
        <f t="shared" si="75"/>
        <v>339</v>
      </c>
    </row>
    <row r="340" spans="2:2" x14ac:dyDescent="0.25">
      <c r="B340" s="88">
        <f t="shared" si="75"/>
        <v>340</v>
      </c>
    </row>
    <row r="341" spans="2:2" x14ac:dyDescent="0.25">
      <c r="B341" s="88">
        <f t="shared" si="75"/>
        <v>341</v>
      </c>
    </row>
    <row r="342" spans="2:2" x14ac:dyDescent="0.25">
      <c r="B342" s="88">
        <f t="shared" si="75"/>
        <v>342</v>
      </c>
    </row>
    <row r="343" spans="2:2" x14ac:dyDescent="0.25">
      <c r="B343" s="88">
        <f t="shared" si="75"/>
        <v>343</v>
      </c>
    </row>
    <row r="344" spans="2:2" x14ac:dyDescent="0.25">
      <c r="B344" s="88">
        <f t="shared" si="75"/>
        <v>344</v>
      </c>
    </row>
    <row r="345" spans="2:2" x14ac:dyDescent="0.25">
      <c r="B345" s="88">
        <f t="shared" si="75"/>
        <v>345</v>
      </c>
    </row>
    <row r="346" spans="2:2" x14ac:dyDescent="0.25">
      <c r="B346" s="88">
        <f t="shared" si="75"/>
        <v>346</v>
      </c>
    </row>
    <row r="347" spans="2:2" x14ac:dyDescent="0.25">
      <c r="B347" s="88">
        <f t="shared" si="75"/>
        <v>347</v>
      </c>
    </row>
    <row r="348" spans="2:2" x14ac:dyDescent="0.25">
      <c r="B348" s="88">
        <f t="shared" si="75"/>
        <v>348</v>
      </c>
    </row>
    <row r="349" spans="2:2" x14ac:dyDescent="0.25">
      <c r="B349" s="88">
        <f t="shared" si="75"/>
        <v>349</v>
      </c>
    </row>
    <row r="350" spans="2:2" x14ac:dyDescent="0.25">
      <c r="B350" s="88">
        <f t="shared" si="75"/>
        <v>350</v>
      </c>
    </row>
    <row r="351" spans="2:2" x14ac:dyDescent="0.25">
      <c r="B351" s="88">
        <f t="shared" si="75"/>
        <v>351</v>
      </c>
    </row>
    <row r="352" spans="2:2" x14ac:dyDescent="0.25">
      <c r="B352" s="88">
        <f t="shared" si="75"/>
        <v>352</v>
      </c>
    </row>
    <row r="353" spans="2:2" x14ac:dyDescent="0.25">
      <c r="B353" s="88">
        <f t="shared" si="75"/>
        <v>353</v>
      </c>
    </row>
    <row r="354" spans="2:2" x14ac:dyDescent="0.25">
      <c r="B354" s="88">
        <f t="shared" si="75"/>
        <v>354</v>
      </c>
    </row>
    <row r="355" spans="2:2" x14ac:dyDescent="0.25">
      <c r="B355" s="88">
        <f t="shared" si="75"/>
        <v>355</v>
      </c>
    </row>
    <row r="356" spans="2:2" x14ac:dyDescent="0.25">
      <c r="B356" s="88">
        <f t="shared" si="75"/>
        <v>356</v>
      </c>
    </row>
    <row r="357" spans="2:2" x14ac:dyDescent="0.25">
      <c r="B357" s="88">
        <f t="shared" si="75"/>
        <v>357</v>
      </c>
    </row>
    <row r="358" spans="2:2" x14ac:dyDescent="0.25">
      <c r="B358" s="88">
        <f t="shared" si="75"/>
        <v>358</v>
      </c>
    </row>
    <row r="359" spans="2:2" x14ac:dyDescent="0.25">
      <c r="B359" s="88">
        <f t="shared" si="75"/>
        <v>359</v>
      </c>
    </row>
    <row r="360" spans="2:2" x14ac:dyDescent="0.25">
      <c r="B360" s="88">
        <f t="shared" si="75"/>
        <v>360</v>
      </c>
    </row>
    <row r="361" spans="2:2" x14ac:dyDescent="0.25">
      <c r="B361" s="88">
        <f t="shared" si="75"/>
        <v>361</v>
      </c>
    </row>
    <row r="362" spans="2:2" x14ac:dyDescent="0.25">
      <c r="B362" s="88">
        <f t="shared" si="75"/>
        <v>362</v>
      </c>
    </row>
    <row r="363" spans="2:2" x14ac:dyDescent="0.25">
      <c r="B363" s="88">
        <f t="shared" si="75"/>
        <v>363</v>
      </c>
    </row>
    <row r="364" spans="2:2" x14ac:dyDescent="0.25">
      <c r="B364" s="88">
        <f t="shared" si="75"/>
        <v>364</v>
      </c>
    </row>
    <row r="365" spans="2:2" x14ac:dyDescent="0.25">
      <c r="B365" s="88">
        <f t="shared" si="75"/>
        <v>365</v>
      </c>
    </row>
    <row r="366" spans="2:2" x14ac:dyDescent="0.25">
      <c r="B366" s="88">
        <f t="shared" si="75"/>
        <v>366</v>
      </c>
    </row>
    <row r="367" spans="2:2" x14ac:dyDescent="0.25">
      <c r="B367" s="88">
        <f t="shared" si="75"/>
        <v>367</v>
      </c>
    </row>
    <row r="368" spans="2:2" x14ac:dyDescent="0.25">
      <c r="B368" s="88">
        <f t="shared" si="75"/>
        <v>368</v>
      </c>
    </row>
    <row r="369" spans="2:2" x14ac:dyDescent="0.25">
      <c r="B369" s="88">
        <f t="shared" si="75"/>
        <v>369</v>
      </c>
    </row>
    <row r="370" spans="2:2" x14ac:dyDescent="0.25">
      <c r="B370" s="88">
        <f t="shared" si="75"/>
        <v>370</v>
      </c>
    </row>
    <row r="371" spans="2:2" x14ac:dyDescent="0.25">
      <c r="B371" s="88">
        <f t="shared" si="75"/>
        <v>371</v>
      </c>
    </row>
    <row r="372" spans="2:2" x14ac:dyDescent="0.25">
      <c r="B372" s="88">
        <f t="shared" si="75"/>
        <v>372</v>
      </c>
    </row>
    <row r="373" spans="2:2" x14ac:dyDescent="0.25">
      <c r="B373" s="88">
        <f t="shared" si="75"/>
        <v>373</v>
      </c>
    </row>
    <row r="374" spans="2:2" x14ac:dyDescent="0.25">
      <c r="B374" s="88">
        <f t="shared" si="75"/>
        <v>374</v>
      </c>
    </row>
    <row r="375" spans="2:2" x14ac:dyDescent="0.25">
      <c r="B375" s="88">
        <f t="shared" si="75"/>
        <v>375</v>
      </c>
    </row>
    <row r="376" spans="2:2" x14ac:dyDescent="0.25">
      <c r="B376" s="88">
        <f t="shared" si="75"/>
        <v>376</v>
      </c>
    </row>
    <row r="377" spans="2:2" x14ac:dyDescent="0.25">
      <c r="B377" s="88">
        <f t="shared" si="75"/>
        <v>377</v>
      </c>
    </row>
    <row r="378" spans="2:2" x14ac:dyDescent="0.25">
      <c r="B378" s="88">
        <f t="shared" si="75"/>
        <v>378</v>
      </c>
    </row>
    <row r="379" spans="2:2" x14ac:dyDescent="0.25">
      <c r="B379" s="88">
        <f t="shared" si="75"/>
        <v>379</v>
      </c>
    </row>
    <row r="380" spans="2:2" x14ac:dyDescent="0.25">
      <c r="B380" s="88">
        <f t="shared" si="75"/>
        <v>380</v>
      </c>
    </row>
    <row r="381" spans="2:2" x14ac:dyDescent="0.25">
      <c r="B381" s="88">
        <f t="shared" si="75"/>
        <v>381</v>
      </c>
    </row>
    <row r="382" spans="2:2" x14ac:dyDescent="0.25">
      <c r="B382" s="88">
        <f t="shared" si="75"/>
        <v>382</v>
      </c>
    </row>
    <row r="383" spans="2:2" x14ac:dyDescent="0.25">
      <c r="B383" s="88">
        <f t="shared" si="75"/>
        <v>383</v>
      </c>
    </row>
    <row r="384" spans="2:2" x14ac:dyDescent="0.25">
      <c r="B384" s="88">
        <f t="shared" si="75"/>
        <v>384</v>
      </c>
    </row>
    <row r="385" spans="2:2" x14ac:dyDescent="0.25">
      <c r="B385" s="88">
        <f t="shared" si="75"/>
        <v>385</v>
      </c>
    </row>
    <row r="386" spans="2:2" x14ac:dyDescent="0.25">
      <c r="B386" s="88">
        <f t="shared" si="75"/>
        <v>386</v>
      </c>
    </row>
    <row r="387" spans="2:2" x14ac:dyDescent="0.25">
      <c r="B387" s="88">
        <f t="shared" si="75"/>
        <v>387</v>
      </c>
    </row>
    <row r="388" spans="2:2" x14ac:dyDescent="0.25">
      <c r="B388" s="88">
        <f t="shared" si="75"/>
        <v>388</v>
      </c>
    </row>
    <row r="389" spans="2:2" x14ac:dyDescent="0.25">
      <c r="B389" s="88">
        <f t="shared" ref="B389:B413" si="76">B388+1</f>
        <v>389</v>
      </c>
    </row>
    <row r="390" spans="2:2" x14ac:dyDescent="0.25">
      <c r="B390" s="88">
        <f t="shared" si="76"/>
        <v>390</v>
      </c>
    </row>
    <row r="391" spans="2:2" x14ac:dyDescent="0.25">
      <c r="B391" s="88">
        <f t="shared" si="76"/>
        <v>391</v>
      </c>
    </row>
    <row r="392" spans="2:2" x14ac:dyDescent="0.25">
      <c r="B392" s="88">
        <f t="shared" si="76"/>
        <v>392</v>
      </c>
    </row>
    <row r="393" spans="2:2" x14ac:dyDescent="0.25">
      <c r="B393" s="88">
        <f t="shared" si="76"/>
        <v>393</v>
      </c>
    </row>
    <row r="394" spans="2:2" x14ac:dyDescent="0.25">
      <c r="B394" s="88">
        <f t="shared" si="76"/>
        <v>394</v>
      </c>
    </row>
    <row r="395" spans="2:2" x14ac:dyDescent="0.25">
      <c r="B395" s="88">
        <f t="shared" si="76"/>
        <v>395</v>
      </c>
    </row>
    <row r="396" spans="2:2" x14ac:dyDescent="0.25">
      <c r="B396" s="88">
        <f t="shared" si="76"/>
        <v>396</v>
      </c>
    </row>
    <row r="397" spans="2:2" x14ac:dyDescent="0.25">
      <c r="B397" s="88">
        <f t="shared" si="76"/>
        <v>397</v>
      </c>
    </row>
    <row r="398" spans="2:2" x14ac:dyDescent="0.25">
      <c r="B398" s="88">
        <f t="shared" si="76"/>
        <v>398</v>
      </c>
    </row>
    <row r="399" spans="2:2" x14ac:dyDescent="0.25">
      <c r="B399" s="88">
        <f t="shared" si="76"/>
        <v>399</v>
      </c>
    </row>
    <row r="400" spans="2:2" x14ac:dyDescent="0.25">
      <c r="B400" s="88">
        <f t="shared" si="76"/>
        <v>400</v>
      </c>
    </row>
    <row r="401" spans="2:2" x14ac:dyDescent="0.25">
      <c r="B401" s="88">
        <f t="shared" si="76"/>
        <v>401</v>
      </c>
    </row>
    <row r="402" spans="2:2" x14ac:dyDescent="0.25">
      <c r="B402" s="88">
        <f t="shared" si="76"/>
        <v>402</v>
      </c>
    </row>
    <row r="403" spans="2:2" x14ac:dyDescent="0.25">
      <c r="B403" s="88">
        <f t="shared" si="76"/>
        <v>403</v>
      </c>
    </row>
    <row r="404" spans="2:2" x14ac:dyDescent="0.25">
      <c r="B404" s="88">
        <f t="shared" si="76"/>
        <v>404</v>
      </c>
    </row>
    <row r="405" spans="2:2" x14ac:dyDescent="0.25">
      <c r="B405" s="88">
        <f t="shared" si="76"/>
        <v>405</v>
      </c>
    </row>
    <row r="406" spans="2:2" x14ac:dyDescent="0.25">
      <c r="B406" s="88">
        <f t="shared" si="76"/>
        <v>406</v>
      </c>
    </row>
    <row r="407" spans="2:2" x14ac:dyDescent="0.25">
      <c r="B407" s="88">
        <f t="shared" si="76"/>
        <v>407</v>
      </c>
    </row>
    <row r="408" spans="2:2" x14ac:dyDescent="0.25">
      <c r="B408" s="88">
        <f t="shared" si="76"/>
        <v>408</v>
      </c>
    </row>
    <row r="409" spans="2:2" x14ac:dyDescent="0.25">
      <c r="B409" s="88">
        <f t="shared" si="76"/>
        <v>409</v>
      </c>
    </row>
    <row r="410" spans="2:2" x14ac:dyDescent="0.25">
      <c r="B410" s="88">
        <f t="shared" si="76"/>
        <v>410</v>
      </c>
    </row>
    <row r="411" spans="2:2" x14ac:dyDescent="0.25">
      <c r="B411" s="88">
        <f t="shared" si="76"/>
        <v>411</v>
      </c>
    </row>
    <row r="412" spans="2:2" x14ac:dyDescent="0.25">
      <c r="B412" s="88">
        <f t="shared" si="76"/>
        <v>412</v>
      </c>
    </row>
    <row r="413" spans="2:2" x14ac:dyDescent="0.25">
      <c r="B413" s="88">
        <f t="shared" si="76"/>
        <v>413</v>
      </c>
    </row>
  </sheetData>
  <mergeCells count="35">
    <mergeCell ref="J2:K2"/>
    <mergeCell ref="C1:K1"/>
    <mergeCell ref="D2:E2"/>
    <mergeCell ref="M1:N2"/>
    <mergeCell ref="F2:G2"/>
    <mergeCell ref="H2:I2"/>
    <mergeCell ref="C40:K40"/>
    <mergeCell ref="M40:N41"/>
    <mergeCell ref="D41:E41"/>
    <mergeCell ref="J41:K41"/>
    <mergeCell ref="C21:K21"/>
    <mergeCell ref="M21:N22"/>
    <mergeCell ref="D22:E22"/>
    <mergeCell ref="J22:K22"/>
    <mergeCell ref="F22:G22"/>
    <mergeCell ref="H41:I41"/>
    <mergeCell ref="F41:G41"/>
    <mergeCell ref="H22:I22"/>
    <mergeCell ref="C60:K60"/>
    <mergeCell ref="M60:N61"/>
    <mergeCell ref="D61:E61"/>
    <mergeCell ref="F61:G61"/>
    <mergeCell ref="H61:I61"/>
    <mergeCell ref="J61:K61"/>
    <mergeCell ref="C79:K79"/>
    <mergeCell ref="M79:N80"/>
    <mergeCell ref="D80:E80"/>
    <mergeCell ref="F80:G80"/>
    <mergeCell ref="H80:I80"/>
    <mergeCell ref="J80:K80"/>
    <mergeCell ref="O1:P2"/>
    <mergeCell ref="O21:P22"/>
    <mergeCell ref="O40:P41"/>
    <mergeCell ref="O60:P61"/>
    <mergeCell ref="O79:P8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F445D-2F31-4DC9-BE2E-6A9585E809BB}">
  <sheetPr codeName="Hoja7">
    <tabColor theme="6"/>
  </sheetPr>
  <dimension ref="B2:S1124"/>
  <sheetViews>
    <sheetView topLeftCell="D2" workbookViewId="0">
      <selection activeCell="B128" sqref="B128"/>
    </sheetView>
  </sheetViews>
  <sheetFormatPr baseColWidth="10" defaultColWidth="11.42578125" defaultRowHeight="15" x14ac:dyDescent="0.25"/>
  <cols>
    <col min="2" max="2" width="21.5703125" bestFit="1" customWidth="1"/>
    <col min="3" max="3" width="59.28515625" bestFit="1" customWidth="1"/>
    <col min="4" max="4" width="30.85546875" bestFit="1" customWidth="1"/>
    <col min="5" max="5" width="30.85546875" customWidth="1"/>
    <col min="6" max="6" width="17" bestFit="1" customWidth="1"/>
    <col min="7" max="7" width="30.28515625" bestFit="1" customWidth="1"/>
    <col min="8" max="8" width="27" bestFit="1" customWidth="1"/>
    <col min="9" max="9" width="10" bestFit="1" customWidth="1"/>
    <col min="18" max="18" width="42.7109375" customWidth="1"/>
    <col min="19" max="19" width="40.28515625" customWidth="1"/>
  </cols>
  <sheetData>
    <row r="2" spans="2:19" ht="30" x14ac:dyDescent="0.25">
      <c r="B2" t="s">
        <v>394</v>
      </c>
      <c r="C2" t="s">
        <v>395</v>
      </c>
      <c r="D2" t="s">
        <v>396</v>
      </c>
      <c r="E2" t="s">
        <v>397</v>
      </c>
      <c r="F2" t="s">
        <v>398</v>
      </c>
      <c r="G2" t="s">
        <v>399</v>
      </c>
      <c r="H2" t="s">
        <v>400</v>
      </c>
      <c r="I2" t="s">
        <v>401</v>
      </c>
      <c r="O2" s="1" t="s">
        <v>402</v>
      </c>
      <c r="P2" s="1" t="s">
        <v>403</v>
      </c>
      <c r="Q2" s="1" t="s">
        <v>404</v>
      </c>
      <c r="R2" s="286" t="s">
        <v>175</v>
      </c>
      <c r="S2" s="286"/>
    </row>
    <row r="3" spans="2:19" x14ac:dyDescent="0.25">
      <c r="B3">
        <v>91001</v>
      </c>
      <c r="C3" t="s">
        <v>405</v>
      </c>
      <c r="D3" t="s">
        <v>406</v>
      </c>
      <c r="E3" t="str">
        <f>C3&amp;" - "&amp;D3</f>
        <v>AMAZONAS - LETICIA</v>
      </c>
      <c r="F3">
        <v>42610</v>
      </c>
      <c r="G3">
        <v>6.37</v>
      </c>
      <c r="H3">
        <v>3.9175499999999999</v>
      </c>
      <c r="I3">
        <f>IF(H3&lt;$P$3,$O$3,IF(H3&lt;$P$4,$O$4,IF(H3&lt;$P$5,$O$5,$O$6)))</f>
        <v>1</v>
      </c>
      <c r="O3">
        <v>1</v>
      </c>
      <c r="P3">
        <v>10</v>
      </c>
      <c r="Q3">
        <f>+P3*30</f>
        <v>300</v>
      </c>
      <c r="R3" t="str">
        <f>Cálculo!C156</f>
        <v>Compostaje en pilas con volteo manual</v>
      </c>
      <c r="S3" t="str">
        <f>Cálculo!C157</f>
        <v>Compostaje en pilas con aireación forzada</v>
      </c>
    </row>
    <row r="4" spans="2:19" x14ac:dyDescent="0.25">
      <c r="B4">
        <v>91540</v>
      </c>
      <c r="C4" t="s">
        <v>405</v>
      </c>
      <c r="D4" t="s">
        <v>407</v>
      </c>
      <c r="E4" t="str">
        <f t="shared" ref="E4:E67" si="0">C4&amp;" - "&amp;D4</f>
        <v>AMAZONAS - PUERTO NARIÑO</v>
      </c>
      <c r="F4">
        <v>8643</v>
      </c>
      <c r="G4">
        <v>0.97</v>
      </c>
      <c r="H4">
        <v>0.59655000000000002</v>
      </c>
      <c r="I4">
        <f t="shared" ref="I4:I67" si="1">IF(H4&lt;$P$3,$O$3,IF(H4&lt;$P$4,$O$4,IF(H4&lt;$P$5,$O$5,$O$6)))</f>
        <v>1</v>
      </c>
      <c r="O4">
        <v>2</v>
      </c>
      <c r="P4">
        <v>50</v>
      </c>
      <c r="Q4">
        <f>+P4*30</f>
        <v>1500</v>
      </c>
      <c r="R4" t="str">
        <f>Cálculo!C157</f>
        <v>Compostaje en pilas con aireación forzada</v>
      </c>
      <c r="S4" t="str">
        <f>Cálculo!C156</f>
        <v>Compostaje en pilas con volteo manual</v>
      </c>
    </row>
    <row r="5" spans="2:19" x14ac:dyDescent="0.25">
      <c r="B5">
        <v>91263</v>
      </c>
      <c r="C5" t="s">
        <v>405</v>
      </c>
      <c r="D5" t="s">
        <v>408</v>
      </c>
      <c r="E5" t="str">
        <f t="shared" si="0"/>
        <v xml:space="preserve">AMAZONAS - EL ENCANTO  </v>
      </c>
      <c r="F5">
        <v>5018</v>
      </c>
      <c r="G5">
        <v>2.2882079999999996</v>
      </c>
      <c r="H5">
        <v>1.4072479199999997</v>
      </c>
      <c r="I5">
        <f t="shared" si="1"/>
        <v>1</v>
      </c>
      <c r="O5">
        <v>3</v>
      </c>
      <c r="P5">
        <v>500</v>
      </c>
      <c r="Q5">
        <f>+P5*30</f>
        <v>15000</v>
      </c>
      <c r="R5" t="str">
        <f>Cálculo!C159</f>
        <v>Tratamiento Mecánico Biológico</v>
      </c>
      <c r="S5" t="str">
        <f>Cálculo!C158</f>
        <v>Compostaje cerrado o "In vessel"</v>
      </c>
    </row>
    <row r="6" spans="2:19" x14ac:dyDescent="0.25">
      <c r="B6">
        <v>91405</v>
      </c>
      <c r="C6" t="s">
        <v>405</v>
      </c>
      <c r="D6" t="s">
        <v>409</v>
      </c>
      <c r="E6" t="str">
        <f t="shared" si="0"/>
        <v xml:space="preserve">AMAZONAS - LA CHORRERA  </v>
      </c>
      <c r="F6">
        <v>4102</v>
      </c>
      <c r="G6">
        <v>1.8705119999999997</v>
      </c>
      <c r="H6">
        <v>1.1503648799999999</v>
      </c>
      <c r="I6">
        <f t="shared" si="1"/>
        <v>1</v>
      </c>
      <c r="O6">
        <v>4</v>
      </c>
      <c r="R6" t="str">
        <f>Cálculo!C159</f>
        <v>Tratamiento Mecánico Biológico</v>
      </c>
      <c r="S6" t="str">
        <f>Cálculo!C160</f>
        <v>Digestión Anaerobia</v>
      </c>
    </row>
    <row r="7" spans="2:19" x14ac:dyDescent="0.25">
      <c r="B7">
        <v>91407</v>
      </c>
      <c r="C7" t="s">
        <v>405</v>
      </c>
      <c r="D7" t="s">
        <v>410</v>
      </c>
      <c r="E7" t="str">
        <f t="shared" si="0"/>
        <v xml:space="preserve">AMAZONAS - LA PEDRERA  </v>
      </c>
      <c r="F7">
        <v>5569</v>
      </c>
      <c r="G7">
        <v>2.5394639999999997</v>
      </c>
      <c r="H7">
        <v>1.5617703599999999</v>
      </c>
      <c r="I7">
        <f t="shared" si="1"/>
        <v>1</v>
      </c>
      <c r="O7">
        <v>5</v>
      </c>
    </row>
    <row r="8" spans="2:19" x14ac:dyDescent="0.25">
      <c r="B8">
        <v>91430</v>
      </c>
      <c r="C8" t="s">
        <v>405</v>
      </c>
      <c r="D8" t="s">
        <v>411</v>
      </c>
      <c r="E8" t="str">
        <f t="shared" si="0"/>
        <v xml:space="preserve">AMAZONAS - LA VICTORIA  </v>
      </c>
      <c r="F8">
        <v>1153</v>
      </c>
      <c r="G8">
        <v>0.5257679999999999</v>
      </c>
      <c r="H8">
        <v>0.32334731999999994</v>
      </c>
      <c r="I8">
        <f t="shared" si="1"/>
        <v>1</v>
      </c>
    </row>
    <row r="9" spans="2:19" x14ac:dyDescent="0.25">
      <c r="B9">
        <v>91460</v>
      </c>
      <c r="C9" t="s">
        <v>405</v>
      </c>
      <c r="D9" t="s">
        <v>412</v>
      </c>
      <c r="E9" t="str">
        <f t="shared" si="0"/>
        <v xml:space="preserve">AMAZONAS - MIRITI - PARANÁ  </v>
      </c>
      <c r="F9">
        <v>1512</v>
      </c>
      <c r="G9">
        <v>0.68947200000000008</v>
      </c>
      <c r="H9">
        <v>0.42402528000000006</v>
      </c>
      <c r="I9">
        <f t="shared" si="1"/>
        <v>1</v>
      </c>
    </row>
    <row r="10" spans="2:19" x14ac:dyDescent="0.25">
      <c r="B10">
        <v>91530</v>
      </c>
      <c r="C10" t="s">
        <v>405</v>
      </c>
      <c r="D10" t="s">
        <v>413</v>
      </c>
      <c r="E10" t="str">
        <f t="shared" si="0"/>
        <v xml:space="preserve">AMAZONAS - PUERTO ALEGRÍA  </v>
      </c>
      <c r="F10">
        <v>2289</v>
      </c>
      <c r="G10">
        <v>1.043784</v>
      </c>
      <c r="H10">
        <v>0.64192716000000005</v>
      </c>
      <c r="I10">
        <f t="shared" si="1"/>
        <v>1</v>
      </c>
    </row>
    <row r="11" spans="2:19" x14ac:dyDescent="0.25">
      <c r="B11">
        <v>91536</v>
      </c>
      <c r="C11" t="s">
        <v>405</v>
      </c>
      <c r="D11" t="s">
        <v>414</v>
      </c>
      <c r="E11" t="str">
        <f t="shared" si="0"/>
        <v xml:space="preserve">AMAZONAS - PUERTO ARICA  </v>
      </c>
      <c r="F11">
        <v>1310</v>
      </c>
      <c r="G11">
        <v>0.59736</v>
      </c>
      <c r="H11">
        <v>0.36737639999999999</v>
      </c>
      <c r="I11">
        <f t="shared" si="1"/>
        <v>1</v>
      </c>
    </row>
    <row r="12" spans="2:19" x14ac:dyDescent="0.25">
      <c r="B12">
        <v>91669</v>
      </c>
      <c r="C12" t="s">
        <v>405</v>
      </c>
      <c r="D12" t="s">
        <v>415</v>
      </c>
      <c r="E12" t="str">
        <f t="shared" si="0"/>
        <v xml:space="preserve">AMAZONAS - PUERTO SANTANDER  </v>
      </c>
      <c r="F12">
        <v>3177</v>
      </c>
      <c r="G12">
        <v>1.448712</v>
      </c>
      <c r="H12">
        <v>0.89095787999999998</v>
      </c>
      <c r="I12">
        <f t="shared" si="1"/>
        <v>1</v>
      </c>
    </row>
    <row r="13" spans="2:19" x14ac:dyDescent="0.25">
      <c r="B13">
        <v>91798</v>
      </c>
      <c r="C13" t="s">
        <v>405</v>
      </c>
      <c r="D13" t="s">
        <v>416</v>
      </c>
      <c r="E13" t="str">
        <f t="shared" si="0"/>
        <v xml:space="preserve">AMAZONAS - TARAPACÁ  </v>
      </c>
      <c r="F13">
        <v>4356</v>
      </c>
      <c r="G13">
        <v>1.9863359999999997</v>
      </c>
      <c r="H13">
        <v>1.2215966399999998</v>
      </c>
      <c r="I13">
        <f t="shared" si="1"/>
        <v>1</v>
      </c>
    </row>
    <row r="14" spans="2:19" x14ac:dyDescent="0.25">
      <c r="B14">
        <v>5001</v>
      </c>
      <c r="C14" t="s">
        <v>417</v>
      </c>
      <c r="D14" t="s">
        <v>418</v>
      </c>
      <c r="E14" t="str">
        <f t="shared" si="0"/>
        <v>ANTIOQUIA - MEDELLÍN</v>
      </c>
      <c r="F14">
        <v>2549537</v>
      </c>
      <c r="G14">
        <v>1837.97</v>
      </c>
      <c r="H14">
        <v>1130.3515500000001</v>
      </c>
      <c r="I14">
        <f t="shared" si="1"/>
        <v>4</v>
      </c>
    </row>
    <row r="15" spans="2:19" x14ac:dyDescent="0.25">
      <c r="B15">
        <v>5002</v>
      </c>
      <c r="C15" t="s">
        <v>417</v>
      </c>
      <c r="D15" t="s">
        <v>419</v>
      </c>
      <c r="E15" t="str">
        <f t="shared" si="0"/>
        <v>ANTIOQUIA - ABEJORRAL</v>
      </c>
      <c r="F15">
        <v>18882</v>
      </c>
      <c r="G15">
        <v>6</v>
      </c>
      <c r="H15">
        <v>3.69</v>
      </c>
      <c r="I15">
        <f t="shared" si="1"/>
        <v>1</v>
      </c>
    </row>
    <row r="16" spans="2:19" x14ac:dyDescent="0.25">
      <c r="B16">
        <v>5004</v>
      </c>
      <c r="C16" t="s">
        <v>417</v>
      </c>
      <c r="D16" t="s">
        <v>420</v>
      </c>
      <c r="E16" t="str">
        <f t="shared" si="0"/>
        <v>ANTIOQUIA - ABRIAQUÍ</v>
      </c>
      <c r="F16">
        <v>1918</v>
      </c>
      <c r="G16">
        <v>0.19</v>
      </c>
      <c r="H16">
        <v>0.11685</v>
      </c>
      <c r="I16">
        <f t="shared" si="1"/>
        <v>1</v>
      </c>
    </row>
    <row r="17" spans="2:9" x14ac:dyDescent="0.25">
      <c r="B17">
        <v>5021</v>
      </c>
      <c r="C17" t="s">
        <v>417</v>
      </c>
      <c r="D17" t="s">
        <v>421</v>
      </c>
      <c r="E17" t="str">
        <f t="shared" si="0"/>
        <v>ANTIOQUIA - ALEJANDRÍA</v>
      </c>
      <c r="F17">
        <v>3307</v>
      </c>
      <c r="G17">
        <v>1.05</v>
      </c>
      <c r="H17">
        <v>0.64575000000000005</v>
      </c>
      <c r="I17">
        <f t="shared" si="1"/>
        <v>1</v>
      </c>
    </row>
    <row r="18" spans="2:9" x14ac:dyDescent="0.25">
      <c r="B18">
        <v>5030</v>
      </c>
      <c r="C18" t="s">
        <v>417</v>
      </c>
      <c r="D18" t="s">
        <v>422</v>
      </c>
      <c r="E18" t="str">
        <f t="shared" si="0"/>
        <v>ANTIOQUIA - AMAGÁ</v>
      </c>
      <c r="F18">
        <v>30376</v>
      </c>
      <c r="G18">
        <v>11.35</v>
      </c>
      <c r="H18">
        <v>6.9802499999999998</v>
      </c>
      <c r="I18">
        <f t="shared" si="1"/>
        <v>1</v>
      </c>
    </row>
    <row r="19" spans="2:9" x14ac:dyDescent="0.25">
      <c r="B19">
        <v>5031</v>
      </c>
      <c r="C19" t="s">
        <v>417</v>
      </c>
      <c r="D19" t="s">
        <v>423</v>
      </c>
      <c r="E19" t="str">
        <f t="shared" si="0"/>
        <v>ANTIOQUIA - AMALFI</v>
      </c>
      <c r="F19">
        <v>22714</v>
      </c>
      <c r="G19">
        <v>9.24</v>
      </c>
      <c r="H19">
        <v>5.6825999999999999</v>
      </c>
      <c r="I19">
        <f t="shared" si="1"/>
        <v>1</v>
      </c>
    </row>
    <row r="20" spans="2:9" x14ac:dyDescent="0.25">
      <c r="B20">
        <v>5034</v>
      </c>
      <c r="C20" t="s">
        <v>417</v>
      </c>
      <c r="D20" t="s">
        <v>424</v>
      </c>
      <c r="E20" t="str">
        <f t="shared" si="0"/>
        <v>ANTIOQUIA - ANDES</v>
      </c>
      <c r="F20">
        <v>47384</v>
      </c>
      <c r="G20">
        <v>20.46</v>
      </c>
      <c r="H20">
        <v>12.5829</v>
      </c>
      <c r="I20">
        <f t="shared" si="1"/>
        <v>2</v>
      </c>
    </row>
    <row r="21" spans="2:9" x14ac:dyDescent="0.25">
      <c r="B21">
        <v>5036</v>
      </c>
      <c r="C21" t="s">
        <v>417</v>
      </c>
      <c r="D21" t="s">
        <v>425</v>
      </c>
      <c r="E21" t="str">
        <f t="shared" si="0"/>
        <v>ANTIOQUIA - ANGELÓPOLIS</v>
      </c>
      <c r="F21">
        <v>9492</v>
      </c>
      <c r="G21">
        <v>1.56</v>
      </c>
      <c r="H21">
        <v>0.95940000000000003</v>
      </c>
      <c r="I21">
        <f t="shared" si="1"/>
        <v>1</v>
      </c>
    </row>
    <row r="22" spans="2:9" x14ac:dyDescent="0.25">
      <c r="B22">
        <v>5038</v>
      </c>
      <c r="C22" t="s">
        <v>417</v>
      </c>
      <c r="D22" t="s">
        <v>426</v>
      </c>
      <c r="E22" t="str">
        <f t="shared" si="0"/>
        <v>ANTIOQUIA - ANGOSTURA</v>
      </c>
      <c r="F22">
        <v>10932</v>
      </c>
      <c r="G22">
        <v>0.27</v>
      </c>
      <c r="H22">
        <v>0.16605</v>
      </c>
      <c r="I22">
        <f t="shared" si="1"/>
        <v>1</v>
      </c>
    </row>
    <row r="23" spans="2:9" x14ac:dyDescent="0.25">
      <c r="B23">
        <v>5040</v>
      </c>
      <c r="C23" t="s">
        <v>417</v>
      </c>
      <c r="D23" t="s">
        <v>427</v>
      </c>
      <c r="E23" t="str">
        <f t="shared" si="0"/>
        <v>ANTIOQUIA - ANORÍ</v>
      </c>
      <c r="F23">
        <v>17962</v>
      </c>
      <c r="G23">
        <v>4.5199999999999996</v>
      </c>
      <c r="H23">
        <v>2.7797999999999998</v>
      </c>
      <c r="I23">
        <f t="shared" si="1"/>
        <v>1</v>
      </c>
    </row>
    <row r="24" spans="2:9" x14ac:dyDescent="0.25">
      <c r="B24">
        <v>5042</v>
      </c>
      <c r="C24" t="s">
        <v>417</v>
      </c>
      <c r="D24" t="s">
        <v>428</v>
      </c>
      <c r="E24" t="str">
        <f t="shared" si="0"/>
        <v>ANTIOQUIA - SANTA FÉ DE ANTIOQUIA</v>
      </c>
      <c r="F24">
        <v>25239</v>
      </c>
      <c r="G24">
        <v>16.04</v>
      </c>
      <c r="H24">
        <v>9.8645999999999994</v>
      </c>
      <c r="I24">
        <f t="shared" si="1"/>
        <v>1</v>
      </c>
    </row>
    <row r="25" spans="2:9" x14ac:dyDescent="0.25">
      <c r="B25">
        <v>5044</v>
      </c>
      <c r="C25" t="s">
        <v>417</v>
      </c>
      <c r="D25" t="s">
        <v>429</v>
      </c>
      <c r="E25" t="str">
        <f t="shared" si="0"/>
        <v>ANTIOQUIA - ANZÁ</v>
      </c>
      <c r="F25">
        <v>7610</v>
      </c>
      <c r="G25">
        <v>0.68</v>
      </c>
      <c r="H25">
        <v>0.41820000000000002</v>
      </c>
      <c r="I25">
        <f t="shared" si="1"/>
        <v>1</v>
      </c>
    </row>
    <row r="26" spans="2:9" x14ac:dyDescent="0.25">
      <c r="B26">
        <v>5045</v>
      </c>
      <c r="C26" t="s">
        <v>417</v>
      </c>
      <c r="D26" t="s">
        <v>430</v>
      </c>
      <c r="E26" t="str">
        <f t="shared" si="0"/>
        <v>ANTIOQUIA - APARTADÓ</v>
      </c>
      <c r="F26">
        <v>200931</v>
      </c>
      <c r="G26">
        <v>97.57</v>
      </c>
      <c r="H26">
        <v>60.005549999999992</v>
      </c>
      <c r="I26">
        <f t="shared" si="1"/>
        <v>3</v>
      </c>
    </row>
    <row r="27" spans="2:9" x14ac:dyDescent="0.25">
      <c r="B27">
        <v>5051</v>
      </c>
      <c r="C27" t="s">
        <v>417</v>
      </c>
      <c r="D27" t="s">
        <v>431</v>
      </c>
      <c r="E27" t="str">
        <f t="shared" si="0"/>
        <v>ANTIOQUIA - ARBOLETES</v>
      </c>
      <c r="F27">
        <v>44560</v>
      </c>
      <c r="G27">
        <v>11.25</v>
      </c>
      <c r="H27">
        <v>6.9187500000000002</v>
      </c>
      <c r="I27">
        <f t="shared" si="1"/>
        <v>1</v>
      </c>
    </row>
    <row r="28" spans="2:9" x14ac:dyDescent="0.25">
      <c r="B28">
        <v>5055</v>
      </c>
      <c r="C28" t="s">
        <v>417</v>
      </c>
      <c r="D28" t="s">
        <v>432</v>
      </c>
      <c r="E28" t="str">
        <f t="shared" si="0"/>
        <v>ANTIOQUIA - ARGELIA</v>
      </c>
      <c r="F28">
        <v>8165</v>
      </c>
      <c r="G28">
        <v>1.6</v>
      </c>
      <c r="H28">
        <v>0.98399999999999999</v>
      </c>
      <c r="I28">
        <f t="shared" si="1"/>
        <v>1</v>
      </c>
    </row>
    <row r="29" spans="2:9" x14ac:dyDescent="0.25">
      <c r="B29">
        <v>5059</v>
      </c>
      <c r="C29" t="s">
        <v>417</v>
      </c>
      <c r="D29" t="s">
        <v>433</v>
      </c>
      <c r="E29" t="str">
        <f t="shared" si="0"/>
        <v>ANTIOQUIA - ARMENIA</v>
      </c>
      <c r="F29">
        <v>3854</v>
      </c>
      <c r="G29">
        <v>0.88</v>
      </c>
      <c r="H29">
        <v>0.54120000000000001</v>
      </c>
      <c r="I29">
        <f t="shared" si="1"/>
        <v>1</v>
      </c>
    </row>
    <row r="30" spans="2:9" x14ac:dyDescent="0.25">
      <c r="B30">
        <v>5079</v>
      </c>
      <c r="C30" t="s">
        <v>417</v>
      </c>
      <c r="D30" t="s">
        <v>434</v>
      </c>
      <c r="E30" t="str">
        <f t="shared" si="0"/>
        <v>ANTIOQUIA - BARBOSA</v>
      </c>
      <c r="F30">
        <v>53167</v>
      </c>
      <c r="G30">
        <v>43.42</v>
      </c>
      <c r="H30">
        <v>26.703300000000002</v>
      </c>
      <c r="I30">
        <f t="shared" si="1"/>
        <v>2</v>
      </c>
    </row>
    <row r="31" spans="2:9" x14ac:dyDescent="0.25">
      <c r="B31">
        <v>5086</v>
      </c>
      <c r="C31" t="s">
        <v>417</v>
      </c>
      <c r="D31" t="s">
        <v>435</v>
      </c>
      <c r="E31" t="str">
        <f t="shared" si="0"/>
        <v>ANTIOQUIA - BELMIRA</v>
      </c>
      <c r="F31">
        <v>6991</v>
      </c>
      <c r="G31">
        <v>1.42</v>
      </c>
      <c r="H31">
        <v>0.87329999999999997</v>
      </c>
      <c r="I31">
        <f t="shared" si="1"/>
        <v>1</v>
      </c>
    </row>
    <row r="32" spans="2:9" x14ac:dyDescent="0.25">
      <c r="B32">
        <v>5088</v>
      </c>
      <c r="C32" t="s">
        <v>417</v>
      </c>
      <c r="D32" t="s">
        <v>436</v>
      </c>
      <c r="E32" t="str">
        <f t="shared" si="0"/>
        <v>ANTIOQUIA - BELLO</v>
      </c>
      <c r="F32">
        <v>491182</v>
      </c>
      <c r="G32">
        <v>299.81</v>
      </c>
      <c r="H32">
        <v>184.38315</v>
      </c>
      <c r="I32">
        <f t="shared" si="1"/>
        <v>3</v>
      </c>
    </row>
    <row r="33" spans="2:9" x14ac:dyDescent="0.25">
      <c r="B33">
        <v>5091</v>
      </c>
      <c r="C33" t="s">
        <v>417</v>
      </c>
      <c r="D33" t="s">
        <v>437</v>
      </c>
      <c r="E33" t="str">
        <f t="shared" si="0"/>
        <v>ANTIOQUIA - BETANIA</v>
      </c>
      <c r="F33">
        <v>8864</v>
      </c>
      <c r="G33">
        <v>2.4700000000000002</v>
      </c>
      <c r="H33">
        <v>1.51905</v>
      </c>
      <c r="I33">
        <f t="shared" si="1"/>
        <v>1</v>
      </c>
    </row>
    <row r="34" spans="2:9" x14ac:dyDescent="0.25">
      <c r="B34">
        <v>5093</v>
      </c>
      <c r="C34" t="s">
        <v>417</v>
      </c>
      <c r="D34" t="s">
        <v>438</v>
      </c>
      <c r="E34" t="str">
        <f t="shared" si="0"/>
        <v>ANTIOQUIA - BETULIA</v>
      </c>
      <c r="F34">
        <v>17773</v>
      </c>
      <c r="G34">
        <v>2.46</v>
      </c>
      <c r="H34">
        <v>1.5128999999999999</v>
      </c>
      <c r="I34">
        <f t="shared" si="1"/>
        <v>1</v>
      </c>
    </row>
    <row r="35" spans="2:9" x14ac:dyDescent="0.25">
      <c r="B35">
        <v>5101</v>
      </c>
      <c r="C35" t="s">
        <v>417</v>
      </c>
      <c r="D35" t="s">
        <v>439</v>
      </c>
      <c r="E35" t="str">
        <f t="shared" si="0"/>
        <v>ANTIOQUIA - CIUDAD BOLÍVAR</v>
      </c>
      <c r="F35">
        <v>26567</v>
      </c>
      <c r="G35">
        <v>8.41</v>
      </c>
      <c r="H35">
        <v>5.1721500000000002</v>
      </c>
      <c r="I35">
        <f t="shared" si="1"/>
        <v>1</v>
      </c>
    </row>
    <row r="36" spans="2:9" x14ac:dyDescent="0.25">
      <c r="B36">
        <v>5107</v>
      </c>
      <c r="C36" t="s">
        <v>417</v>
      </c>
      <c r="D36" t="s">
        <v>440</v>
      </c>
      <c r="E36" t="str">
        <f t="shared" si="0"/>
        <v>ANTIOQUIA - BRICEÑO</v>
      </c>
      <c r="F36">
        <v>8662</v>
      </c>
      <c r="G36">
        <v>2.67</v>
      </c>
      <c r="H36">
        <v>1.64205</v>
      </c>
      <c r="I36">
        <f t="shared" si="1"/>
        <v>1</v>
      </c>
    </row>
    <row r="37" spans="2:9" x14ac:dyDescent="0.25">
      <c r="B37">
        <v>5113</v>
      </c>
      <c r="C37" t="s">
        <v>417</v>
      </c>
      <c r="D37" t="s">
        <v>441</v>
      </c>
      <c r="E37" t="str">
        <f t="shared" si="0"/>
        <v>ANTIOQUIA - BURITICÁ</v>
      </c>
      <c r="F37">
        <v>6446</v>
      </c>
      <c r="G37">
        <v>2.38</v>
      </c>
      <c r="H37">
        <v>1.4637</v>
      </c>
      <c r="I37">
        <f t="shared" si="1"/>
        <v>1</v>
      </c>
    </row>
    <row r="38" spans="2:9" x14ac:dyDescent="0.25">
      <c r="B38">
        <v>5120</v>
      </c>
      <c r="C38" t="s">
        <v>417</v>
      </c>
      <c r="D38" t="s">
        <v>442</v>
      </c>
      <c r="E38" t="str">
        <f t="shared" si="0"/>
        <v>ANTIOQUIA - CÁCERES</v>
      </c>
      <c r="F38">
        <v>42112</v>
      </c>
      <c r="G38">
        <v>7.65</v>
      </c>
      <c r="H38">
        <v>4.7047499999999998</v>
      </c>
      <c r="I38">
        <f t="shared" si="1"/>
        <v>1</v>
      </c>
    </row>
    <row r="39" spans="2:9" x14ac:dyDescent="0.25">
      <c r="B39">
        <v>5125</v>
      </c>
      <c r="C39" t="s">
        <v>417</v>
      </c>
      <c r="D39" t="s">
        <v>443</v>
      </c>
      <c r="E39" t="str">
        <f t="shared" si="0"/>
        <v>ANTIOQUIA - CAICEDO</v>
      </c>
      <c r="F39">
        <v>8457</v>
      </c>
      <c r="G39">
        <v>0.98</v>
      </c>
      <c r="H39">
        <v>0.60270000000000001</v>
      </c>
      <c r="I39">
        <f t="shared" si="1"/>
        <v>1</v>
      </c>
    </row>
    <row r="40" spans="2:9" x14ac:dyDescent="0.25">
      <c r="B40">
        <v>5129</v>
      </c>
      <c r="C40" t="s">
        <v>417</v>
      </c>
      <c r="D40" t="s">
        <v>444</v>
      </c>
      <c r="E40" t="str">
        <f t="shared" si="0"/>
        <v>ANTIOQUIA - CALDAS</v>
      </c>
      <c r="F40">
        <v>81381</v>
      </c>
      <c r="G40">
        <v>0.38</v>
      </c>
      <c r="H40">
        <v>0.23369999999999999</v>
      </c>
      <c r="I40">
        <f t="shared" si="1"/>
        <v>1</v>
      </c>
    </row>
    <row r="41" spans="2:9" x14ac:dyDescent="0.25">
      <c r="B41">
        <v>5134</v>
      </c>
      <c r="C41" t="s">
        <v>417</v>
      </c>
      <c r="D41" t="s">
        <v>445</v>
      </c>
      <c r="E41" t="str">
        <f t="shared" si="0"/>
        <v>ANTIOQUIA - CAMPAMENTO</v>
      </c>
      <c r="F41">
        <v>8839</v>
      </c>
      <c r="G41">
        <v>0.66</v>
      </c>
      <c r="H41">
        <v>0.40590000000000004</v>
      </c>
      <c r="I41">
        <f t="shared" si="1"/>
        <v>1</v>
      </c>
    </row>
    <row r="42" spans="2:9" x14ac:dyDescent="0.25">
      <c r="B42">
        <v>5138</v>
      </c>
      <c r="C42" t="s">
        <v>417</v>
      </c>
      <c r="D42" t="s">
        <v>446</v>
      </c>
      <c r="E42" t="str">
        <f t="shared" si="0"/>
        <v>ANTIOQUIA - CAÑASGORDAS</v>
      </c>
      <c r="F42">
        <v>16725</v>
      </c>
      <c r="G42">
        <v>2.0699999999999998</v>
      </c>
      <c r="H42">
        <v>1.2730499999999998</v>
      </c>
      <c r="I42">
        <f t="shared" si="1"/>
        <v>1</v>
      </c>
    </row>
    <row r="43" spans="2:9" x14ac:dyDescent="0.25">
      <c r="B43">
        <v>5142</v>
      </c>
      <c r="C43" t="s">
        <v>417</v>
      </c>
      <c r="D43" t="s">
        <v>447</v>
      </c>
      <c r="E43" t="str">
        <f t="shared" si="0"/>
        <v>ANTIOQUIA - CARACOLÍ</v>
      </c>
      <c r="F43">
        <v>4491</v>
      </c>
      <c r="G43">
        <v>0.55000000000000004</v>
      </c>
      <c r="H43">
        <v>0.33825</v>
      </c>
      <c r="I43">
        <f t="shared" si="1"/>
        <v>1</v>
      </c>
    </row>
    <row r="44" spans="2:9" x14ac:dyDescent="0.25">
      <c r="B44">
        <v>5145</v>
      </c>
      <c r="C44" t="s">
        <v>417</v>
      </c>
      <c r="D44" t="s">
        <v>448</v>
      </c>
      <c r="E44" t="str">
        <f t="shared" si="0"/>
        <v>ANTIOQUIA - CARAMANTA</v>
      </c>
      <c r="F44">
        <v>5276</v>
      </c>
      <c r="G44">
        <v>0.8</v>
      </c>
      <c r="H44">
        <v>0.49199999999999999</v>
      </c>
      <c r="I44">
        <f t="shared" si="1"/>
        <v>1</v>
      </c>
    </row>
    <row r="45" spans="2:9" x14ac:dyDescent="0.25">
      <c r="B45">
        <v>5147</v>
      </c>
      <c r="C45" t="s">
        <v>417</v>
      </c>
      <c r="D45" t="s">
        <v>449</v>
      </c>
      <c r="E45" t="str">
        <f t="shared" si="0"/>
        <v>ANTIOQUIA - CAREPA</v>
      </c>
      <c r="F45">
        <v>61641</v>
      </c>
      <c r="G45">
        <v>37.01</v>
      </c>
      <c r="H45">
        <v>22.761149999999997</v>
      </c>
      <c r="I45">
        <f t="shared" si="1"/>
        <v>2</v>
      </c>
    </row>
    <row r="46" spans="2:9" x14ac:dyDescent="0.25">
      <c r="B46">
        <v>5148</v>
      </c>
      <c r="C46" t="s">
        <v>417</v>
      </c>
      <c r="D46" t="s">
        <v>450</v>
      </c>
      <c r="E46" t="str">
        <f t="shared" si="0"/>
        <v>ANTIOQUIA - EL CARMEN DE VIBORAL</v>
      </c>
      <c r="F46">
        <v>49076</v>
      </c>
      <c r="G46">
        <v>24.33</v>
      </c>
      <c r="H46">
        <v>14.962949999999999</v>
      </c>
      <c r="I46">
        <f t="shared" si="1"/>
        <v>2</v>
      </c>
    </row>
    <row r="47" spans="2:9" x14ac:dyDescent="0.25">
      <c r="B47">
        <v>5150</v>
      </c>
      <c r="C47" t="s">
        <v>417</v>
      </c>
      <c r="D47" t="s">
        <v>451</v>
      </c>
      <c r="E47" t="str">
        <f t="shared" si="0"/>
        <v>ANTIOQUIA - CAROLINA</v>
      </c>
      <c r="F47">
        <v>3474</v>
      </c>
      <c r="G47">
        <v>1.1100000000000001</v>
      </c>
      <c r="H47">
        <v>0.68265000000000009</v>
      </c>
      <c r="I47">
        <f t="shared" si="1"/>
        <v>1</v>
      </c>
    </row>
    <row r="48" spans="2:9" x14ac:dyDescent="0.25">
      <c r="B48">
        <v>5154</v>
      </c>
      <c r="C48" t="s">
        <v>417</v>
      </c>
      <c r="D48" t="s">
        <v>452</v>
      </c>
      <c r="E48" t="str">
        <f t="shared" si="0"/>
        <v>ANTIOQUIA - CAUCASIA</v>
      </c>
      <c r="F48">
        <v>123304</v>
      </c>
      <c r="G48">
        <v>53.22</v>
      </c>
      <c r="H48">
        <v>32.7303</v>
      </c>
      <c r="I48">
        <f t="shared" si="1"/>
        <v>2</v>
      </c>
    </row>
    <row r="49" spans="2:9" x14ac:dyDescent="0.25">
      <c r="B49">
        <v>5172</v>
      </c>
      <c r="C49" t="s">
        <v>417</v>
      </c>
      <c r="D49" t="s">
        <v>453</v>
      </c>
      <c r="E49" t="str">
        <f t="shared" si="0"/>
        <v>ANTIOQUIA - CHIGORODÓ</v>
      </c>
      <c r="F49">
        <v>84183</v>
      </c>
      <c r="G49">
        <v>19.78</v>
      </c>
      <c r="H49">
        <v>12.1647</v>
      </c>
      <c r="I49">
        <f t="shared" si="1"/>
        <v>2</v>
      </c>
    </row>
    <row r="50" spans="2:9" x14ac:dyDescent="0.25">
      <c r="B50">
        <v>5190</v>
      </c>
      <c r="C50" t="s">
        <v>417</v>
      </c>
      <c r="D50" t="s">
        <v>454</v>
      </c>
      <c r="E50" t="str">
        <f t="shared" si="0"/>
        <v>ANTIOQUIA - CISNEROS</v>
      </c>
      <c r="F50">
        <v>8798</v>
      </c>
      <c r="G50">
        <v>4.97</v>
      </c>
      <c r="H50">
        <v>3.0565499999999997</v>
      </c>
      <c r="I50">
        <f t="shared" si="1"/>
        <v>1</v>
      </c>
    </row>
    <row r="51" spans="2:9" x14ac:dyDescent="0.25">
      <c r="B51">
        <v>5197</v>
      </c>
      <c r="C51" t="s">
        <v>417</v>
      </c>
      <c r="D51" t="s">
        <v>455</v>
      </c>
      <c r="E51" t="str">
        <f t="shared" si="0"/>
        <v>ANTIOQUIA - COCORNÁ</v>
      </c>
      <c r="F51">
        <v>14909</v>
      </c>
      <c r="G51">
        <v>1.71</v>
      </c>
      <c r="H51">
        <v>1.05165</v>
      </c>
      <c r="I51">
        <f t="shared" si="1"/>
        <v>1</v>
      </c>
    </row>
    <row r="52" spans="2:9" x14ac:dyDescent="0.25">
      <c r="B52">
        <v>5206</v>
      </c>
      <c r="C52" t="s">
        <v>417</v>
      </c>
      <c r="D52" t="s">
        <v>456</v>
      </c>
      <c r="E52" t="str">
        <f t="shared" si="0"/>
        <v>ANTIOQUIA - CONCEPCIÓN</v>
      </c>
      <c r="F52">
        <v>3114</v>
      </c>
      <c r="G52">
        <v>0.72</v>
      </c>
      <c r="H52">
        <v>0.44279999999999997</v>
      </c>
      <c r="I52">
        <f t="shared" si="1"/>
        <v>1</v>
      </c>
    </row>
    <row r="53" spans="2:9" x14ac:dyDescent="0.25">
      <c r="B53">
        <v>5209</v>
      </c>
      <c r="C53" t="s">
        <v>417</v>
      </c>
      <c r="D53" t="s">
        <v>457</v>
      </c>
      <c r="E53" t="str">
        <f t="shared" si="0"/>
        <v>ANTIOQUIA - CONCORDIA</v>
      </c>
      <c r="F53">
        <v>20271</v>
      </c>
      <c r="G53">
        <v>3.06</v>
      </c>
      <c r="H53">
        <v>1.8818999999999999</v>
      </c>
      <c r="I53">
        <f t="shared" si="1"/>
        <v>1</v>
      </c>
    </row>
    <row r="54" spans="2:9" x14ac:dyDescent="0.25">
      <c r="B54">
        <v>5212</v>
      </c>
      <c r="C54" t="s">
        <v>417</v>
      </c>
      <c r="D54" t="s">
        <v>458</v>
      </c>
      <c r="E54" t="str">
        <f t="shared" si="0"/>
        <v>ANTIOQUIA - COPACABANA</v>
      </c>
      <c r="F54">
        <v>73574</v>
      </c>
      <c r="G54">
        <v>41.23</v>
      </c>
      <c r="H54">
        <v>25.356449999999999</v>
      </c>
      <c r="I54">
        <f t="shared" si="1"/>
        <v>2</v>
      </c>
    </row>
    <row r="55" spans="2:9" x14ac:dyDescent="0.25">
      <c r="B55">
        <v>5234</v>
      </c>
      <c r="C55" t="s">
        <v>417</v>
      </c>
      <c r="D55" t="s">
        <v>459</v>
      </c>
      <c r="E55" t="str">
        <f t="shared" si="0"/>
        <v>ANTIOQUIA - DABEIBA</v>
      </c>
      <c r="F55">
        <v>22954</v>
      </c>
      <c r="G55">
        <v>6.84</v>
      </c>
      <c r="H55">
        <v>4.2065999999999999</v>
      </c>
      <c r="I55">
        <f t="shared" si="1"/>
        <v>1</v>
      </c>
    </row>
    <row r="56" spans="2:9" x14ac:dyDescent="0.25">
      <c r="B56">
        <v>5237</v>
      </c>
      <c r="C56" t="s">
        <v>417</v>
      </c>
      <c r="D56" t="s">
        <v>460</v>
      </c>
      <c r="E56" t="str">
        <f t="shared" si="0"/>
        <v>ANTIOQUIA - DONMATÍAS</v>
      </c>
      <c r="F56">
        <v>24201</v>
      </c>
      <c r="G56">
        <v>11.44</v>
      </c>
      <c r="H56">
        <v>7.0355999999999996</v>
      </c>
      <c r="I56">
        <f t="shared" si="1"/>
        <v>1</v>
      </c>
    </row>
    <row r="57" spans="2:9" x14ac:dyDescent="0.25">
      <c r="B57">
        <v>5240</v>
      </c>
      <c r="C57" t="s">
        <v>417</v>
      </c>
      <c r="D57" t="s">
        <v>461</v>
      </c>
      <c r="E57" t="str">
        <f t="shared" si="0"/>
        <v>ANTIOQUIA - EBÉJICO</v>
      </c>
      <c r="F57">
        <v>12478</v>
      </c>
      <c r="G57">
        <v>1.91</v>
      </c>
      <c r="H57">
        <v>1.17465</v>
      </c>
      <c r="I57">
        <f t="shared" si="1"/>
        <v>1</v>
      </c>
    </row>
    <row r="58" spans="2:9" x14ac:dyDescent="0.25">
      <c r="B58">
        <v>5250</v>
      </c>
      <c r="C58" t="s">
        <v>417</v>
      </c>
      <c r="D58" t="s">
        <v>462</v>
      </c>
      <c r="E58" t="str">
        <f t="shared" si="0"/>
        <v>ANTIOQUIA - EL BAGRE</v>
      </c>
      <c r="F58">
        <v>50863</v>
      </c>
      <c r="G58">
        <v>14.27</v>
      </c>
      <c r="H58">
        <v>8.7760499999999997</v>
      </c>
      <c r="I58">
        <f t="shared" si="1"/>
        <v>1</v>
      </c>
    </row>
    <row r="59" spans="2:9" x14ac:dyDescent="0.25">
      <c r="B59">
        <v>5264</v>
      </c>
      <c r="C59" t="s">
        <v>417</v>
      </c>
      <c r="D59" t="s">
        <v>463</v>
      </c>
      <c r="E59" t="str">
        <f t="shared" si="0"/>
        <v>ANTIOQUIA - ENTRERRÍOS</v>
      </c>
      <c r="F59">
        <v>10547</v>
      </c>
      <c r="G59">
        <v>4.3099999999999996</v>
      </c>
      <c r="H59">
        <v>2.6506499999999997</v>
      </c>
      <c r="I59">
        <f t="shared" si="1"/>
        <v>1</v>
      </c>
    </row>
    <row r="60" spans="2:9" x14ac:dyDescent="0.25">
      <c r="B60">
        <v>5266</v>
      </c>
      <c r="C60" t="s">
        <v>417</v>
      </c>
      <c r="D60" t="s">
        <v>464</v>
      </c>
      <c r="E60" t="str">
        <f t="shared" si="0"/>
        <v>ANTIOQUIA - ENVIGADO</v>
      </c>
      <c r="F60">
        <v>243609</v>
      </c>
      <c r="G60">
        <v>170.11</v>
      </c>
      <c r="H60">
        <v>104.61765000000001</v>
      </c>
      <c r="I60">
        <f t="shared" si="1"/>
        <v>3</v>
      </c>
    </row>
    <row r="61" spans="2:9" x14ac:dyDescent="0.25">
      <c r="B61">
        <v>5282</v>
      </c>
      <c r="C61" t="s">
        <v>417</v>
      </c>
      <c r="D61" t="s">
        <v>465</v>
      </c>
      <c r="E61" t="str">
        <f t="shared" si="0"/>
        <v>ANTIOQUIA - FREDONIA</v>
      </c>
      <c r="F61">
        <v>20997</v>
      </c>
      <c r="G61">
        <v>5.36</v>
      </c>
      <c r="H61">
        <v>3.2964000000000002</v>
      </c>
      <c r="I61">
        <f t="shared" si="1"/>
        <v>1</v>
      </c>
    </row>
    <row r="62" spans="2:9" x14ac:dyDescent="0.25">
      <c r="B62">
        <v>5284</v>
      </c>
      <c r="C62" t="s">
        <v>417</v>
      </c>
      <c r="D62" t="s">
        <v>466</v>
      </c>
      <c r="E62" t="str">
        <f t="shared" si="0"/>
        <v>ANTIOQUIA - FRONTINO</v>
      </c>
      <c r="F62">
        <v>15401</v>
      </c>
      <c r="G62">
        <v>2.69</v>
      </c>
      <c r="H62">
        <v>1.65435</v>
      </c>
      <c r="I62">
        <f t="shared" si="1"/>
        <v>1</v>
      </c>
    </row>
    <row r="63" spans="2:9" x14ac:dyDescent="0.25">
      <c r="B63">
        <v>5306</v>
      </c>
      <c r="C63" t="s">
        <v>417</v>
      </c>
      <c r="D63" t="s">
        <v>467</v>
      </c>
      <c r="E63" t="str">
        <f t="shared" si="0"/>
        <v>ANTIOQUIA - GIRALDO</v>
      </c>
      <c r="F63">
        <v>3953</v>
      </c>
      <c r="G63">
        <v>0.11</v>
      </c>
      <c r="H63">
        <v>6.7650000000000002E-2</v>
      </c>
      <c r="I63">
        <f t="shared" si="1"/>
        <v>1</v>
      </c>
    </row>
    <row r="64" spans="2:9" x14ac:dyDescent="0.25">
      <c r="B64">
        <v>5308</v>
      </c>
      <c r="C64" t="s">
        <v>417</v>
      </c>
      <c r="D64" t="s">
        <v>468</v>
      </c>
      <c r="E64" t="str">
        <f t="shared" si="0"/>
        <v>ANTIOQUIA - GIRARDOTA</v>
      </c>
      <c r="F64">
        <v>59319</v>
      </c>
      <c r="G64">
        <v>30.39</v>
      </c>
      <c r="H64">
        <v>18.68985</v>
      </c>
      <c r="I64">
        <f t="shared" si="1"/>
        <v>2</v>
      </c>
    </row>
    <row r="65" spans="2:9" x14ac:dyDescent="0.25">
      <c r="B65">
        <v>5310</v>
      </c>
      <c r="C65" t="s">
        <v>417</v>
      </c>
      <c r="D65" t="s">
        <v>469</v>
      </c>
      <c r="E65" t="str">
        <f t="shared" si="0"/>
        <v>ANTIOQUIA - GÓMEZ PLATA</v>
      </c>
      <c r="F65">
        <v>13417</v>
      </c>
      <c r="G65">
        <v>2.61</v>
      </c>
      <c r="H65">
        <v>1.6051499999999999</v>
      </c>
      <c r="I65">
        <f t="shared" si="1"/>
        <v>1</v>
      </c>
    </row>
    <row r="66" spans="2:9" x14ac:dyDescent="0.25">
      <c r="B66">
        <v>5313</v>
      </c>
      <c r="C66" t="s">
        <v>417</v>
      </c>
      <c r="D66" t="s">
        <v>470</v>
      </c>
      <c r="E66" t="str">
        <f t="shared" si="0"/>
        <v>ANTIOQUIA - GRANADA</v>
      </c>
      <c r="F66">
        <v>9885</v>
      </c>
      <c r="G66">
        <v>2</v>
      </c>
      <c r="H66">
        <v>1.23</v>
      </c>
      <c r="I66">
        <f t="shared" si="1"/>
        <v>1</v>
      </c>
    </row>
    <row r="67" spans="2:9" x14ac:dyDescent="0.25">
      <c r="B67">
        <v>5315</v>
      </c>
      <c r="C67" t="s">
        <v>417</v>
      </c>
      <c r="D67" t="s">
        <v>471</v>
      </c>
      <c r="E67" t="str">
        <f t="shared" si="0"/>
        <v>ANTIOQUIA - GUADALUPE</v>
      </c>
      <c r="F67">
        <v>6324</v>
      </c>
      <c r="G67">
        <v>1.32</v>
      </c>
      <c r="H67">
        <v>0.81180000000000008</v>
      </c>
      <c r="I67">
        <f t="shared" si="1"/>
        <v>1</v>
      </c>
    </row>
    <row r="68" spans="2:9" x14ac:dyDescent="0.25">
      <c r="B68">
        <v>5318</v>
      </c>
      <c r="C68" t="s">
        <v>417</v>
      </c>
      <c r="D68" t="s">
        <v>472</v>
      </c>
      <c r="E68" t="str">
        <f t="shared" ref="E68:E131" si="2">C68&amp;" - "&amp;D68</f>
        <v>ANTIOQUIA - GUARNE</v>
      </c>
      <c r="F68">
        <v>51265</v>
      </c>
      <c r="G68">
        <v>20.6</v>
      </c>
      <c r="H68">
        <v>12.669</v>
      </c>
      <c r="I68">
        <f t="shared" ref="I68:I131" si="3">IF(H68&lt;$P$3,$O$3,IF(H68&lt;$P$4,$O$4,IF(H68&lt;$P$5,$O$5,$O$6)))</f>
        <v>2</v>
      </c>
    </row>
    <row r="69" spans="2:9" x14ac:dyDescent="0.25">
      <c r="B69">
        <v>5321</v>
      </c>
      <c r="C69" t="s">
        <v>417</v>
      </c>
      <c r="D69" t="s">
        <v>473</v>
      </c>
      <c r="E69" t="str">
        <f t="shared" si="2"/>
        <v>ANTIOQUIA - GUATAPÉ</v>
      </c>
      <c r="F69">
        <v>5046</v>
      </c>
      <c r="G69">
        <v>3.5</v>
      </c>
      <c r="H69">
        <v>2.1524999999999999</v>
      </c>
      <c r="I69">
        <f t="shared" si="3"/>
        <v>1</v>
      </c>
    </row>
    <row r="70" spans="2:9" x14ac:dyDescent="0.25">
      <c r="B70">
        <v>5347</v>
      </c>
      <c r="C70" t="s">
        <v>417</v>
      </c>
      <c r="D70" t="s">
        <v>474</v>
      </c>
      <c r="E70" t="str">
        <f t="shared" si="2"/>
        <v>ANTIOQUIA - HELICONIA</v>
      </c>
      <c r="F70">
        <v>5616</v>
      </c>
      <c r="G70">
        <v>1.7</v>
      </c>
      <c r="H70">
        <v>1.0454999999999999</v>
      </c>
      <c r="I70">
        <f t="shared" si="3"/>
        <v>1</v>
      </c>
    </row>
    <row r="71" spans="2:9" x14ac:dyDescent="0.25">
      <c r="B71">
        <v>5353</v>
      </c>
      <c r="C71" t="s">
        <v>417</v>
      </c>
      <c r="D71" t="s">
        <v>475</v>
      </c>
      <c r="E71" t="str">
        <f t="shared" si="2"/>
        <v>ANTIOQUIA - HISPANIA</v>
      </c>
      <c r="F71">
        <v>4890</v>
      </c>
      <c r="G71">
        <v>0.43</v>
      </c>
      <c r="H71">
        <v>0.26445000000000002</v>
      </c>
      <c r="I71">
        <f t="shared" si="3"/>
        <v>1</v>
      </c>
    </row>
    <row r="72" spans="2:9" x14ac:dyDescent="0.25">
      <c r="B72">
        <v>5360</v>
      </c>
      <c r="C72" t="s">
        <v>417</v>
      </c>
      <c r="D72" t="s">
        <v>476</v>
      </c>
      <c r="E72" t="str">
        <f t="shared" si="2"/>
        <v>ANTIOQUIA - ITAGÜÍ</v>
      </c>
      <c r="F72">
        <v>279871</v>
      </c>
      <c r="G72">
        <v>240.73</v>
      </c>
      <c r="H72">
        <v>148.04894999999999</v>
      </c>
      <c r="I72">
        <f t="shared" si="3"/>
        <v>3</v>
      </c>
    </row>
    <row r="73" spans="2:9" x14ac:dyDescent="0.25">
      <c r="B73">
        <v>5361</v>
      </c>
      <c r="C73" t="s">
        <v>417</v>
      </c>
      <c r="D73" t="s">
        <v>477</v>
      </c>
      <c r="E73" t="str">
        <f t="shared" si="2"/>
        <v>ANTIOQUIA - ITUANGO</v>
      </c>
      <c r="F73">
        <v>19578</v>
      </c>
      <c r="G73">
        <v>5.4</v>
      </c>
      <c r="H73">
        <v>3.3210000000000002</v>
      </c>
      <c r="I73">
        <f t="shared" si="3"/>
        <v>1</v>
      </c>
    </row>
    <row r="74" spans="2:9" x14ac:dyDescent="0.25">
      <c r="B74">
        <v>5364</v>
      </c>
      <c r="C74" t="s">
        <v>417</v>
      </c>
      <c r="D74" t="s">
        <v>478</v>
      </c>
      <c r="E74" t="str">
        <f t="shared" si="2"/>
        <v>ANTIOQUIA - JARDÍN</v>
      </c>
      <c r="F74">
        <v>13426</v>
      </c>
      <c r="G74">
        <v>3.15</v>
      </c>
      <c r="H74">
        <v>1.9372499999999999</v>
      </c>
      <c r="I74">
        <f t="shared" si="3"/>
        <v>1</v>
      </c>
    </row>
    <row r="75" spans="2:9" x14ac:dyDescent="0.25">
      <c r="B75">
        <v>5368</v>
      </c>
      <c r="C75" t="s">
        <v>417</v>
      </c>
      <c r="D75" t="s">
        <v>479</v>
      </c>
      <c r="E75" t="str">
        <f t="shared" si="2"/>
        <v>ANTIOQUIA - JERICÓ</v>
      </c>
      <c r="F75">
        <v>11765</v>
      </c>
      <c r="G75">
        <v>4.21</v>
      </c>
      <c r="H75">
        <v>2.5891500000000001</v>
      </c>
      <c r="I75">
        <f t="shared" si="3"/>
        <v>1</v>
      </c>
    </row>
    <row r="76" spans="2:9" x14ac:dyDescent="0.25">
      <c r="B76">
        <v>5376</v>
      </c>
      <c r="C76" t="s">
        <v>417</v>
      </c>
      <c r="D76" t="s">
        <v>480</v>
      </c>
      <c r="E76" t="str">
        <f t="shared" si="2"/>
        <v>ANTIOQUIA - LA CEJA</v>
      </c>
      <c r="F76">
        <v>55246</v>
      </c>
      <c r="G76">
        <v>34.450000000000003</v>
      </c>
      <c r="H76">
        <v>21.18675</v>
      </c>
      <c r="I76">
        <f t="shared" si="3"/>
        <v>2</v>
      </c>
    </row>
    <row r="77" spans="2:9" x14ac:dyDescent="0.25">
      <c r="B77">
        <v>5380</v>
      </c>
      <c r="C77" t="s">
        <v>417</v>
      </c>
      <c r="D77" t="s">
        <v>481</v>
      </c>
      <c r="E77" t="str">
        <f t="shared" si="2"/>
        <v>ANTIOQUIA - LA ESTRELLA</v>
      </c>
      <c r="F77">
        <v>66281</v>
      </c>
      <c r="G77">
        <v>1.45</v>
      </c>
      <c r="H77">
        <v>0.89174999999999993</v>
      </c>
      <c r="I77">
        <f t="shared" si="3"/>
        <v>1</v>
      </c>
    </row>
    <row r="78" spans="2:9" x14ac:dyDescent="0.25">
      <c r="B78">
        <v>5390</v>
      </c>
      <c r="C78" t="s">
        <v>417</v>
      </c>
      <c r="D78" t="s">
        <v>482</v>
      </c>
      <c r="E78" t="str">
        <f t="shared" si="2"/>
        <v>ANTIOQUIA - LA PINTADA</v>
      </c>
      <c r="F78">
        <v>6343</v>
      </c>
      <c r="G78">
        <v>4.74</v>
      </c>
      <c r="H78">
        <v>2.9151000000000002</v>
      </c>
      <c r="I78">
        <f t="shared" si="3"/>
        <v>1</v>
      </c>
    </row>
    <row r="79" spans="2:9" x14ac:dyDescent="0.25">
      <c r="B79">
        <v>5400</v>
      </c>
      <c r="C79" t="s">
        <v>417</v>
      </c>
      <c r="D79" t="s">
        <v>483</v>
      </c>
      <c r="E79" t="str">
        <f t="shared" si="2"/>
        <v>ANTIOQUIA - LA UNIÓN</v>
      </c>
      <c r="F79">
        <v>19502</v>
      </c>
      <c r="G79">
        <v>11.06</v>
      </c>
      <c r="H79">
        <v>6.8018999999999998</v>
      </c>
      <c r="I79">
        <f t="shared" si="3"/>
        <v>1</v>
      </c>
    </row>
    <row r="80" spans="2:9" x14ac:dyDescent="0.25">
      <c r="B80">
        <v>5411</v>
      </c>
      <c r="C80" t="s">
        <v>417</v>
      </c>
      <c r="D80" t="s">
        <v>484</v>
      </c>
      <c r="E80" t="str">
        <f t="shared" si="2"/>
        <v>ANTIOQUIA - LIBORINA</v>
      </c>
      <c r="F80">
        <v>9586</v>
      </c>
      <c r="G80">
        <v>1.87</v>
      </c>
      <c r="H80">
        <v>1.15005</v>
      </c>
      <c r="I80">
        <f t="shared" si="3"/>
        <v>1</v>
      </c>
    </row>
    <row r="81" spans="2:9" x14ac:dyDescent="0.25">
      <c r="B81">
        <v>5425</v>
      </c>
      <c r="C81" t="s">
        <v>417</v>
      </c>
      <c r="D81" t="s">
        <v>485</v>
      </c>
      <c r="E81" t="str">
        <f t="shared" si="2"/>
        <v>ANTIOQUIA - MACEO</v>
      </c>
      <c r="F81">
        <v>6537</v>
      </c>
      <c r="G81">
        <v>2.8</v>
      </c>
      <c r="H81">
        <v>1.722</v>
      </c>
      <c r="I81">
        <f t="shared" si="3"/>
        <v>1</v>
      </c>
    </row>
    <row r="82" spans="2:9" x14ac:dyDescent="0.25">
      <c r="B82">
        <v>5440</v>
      </c>
      <c r="C82" t="s">
        <v>417</v>
      </c>
      <c r="D82" t="s">
        <v>486</v>
      </c>
      <c r="E82" t="str">
        <f t="shared" si="2"/>
        <v>ANTIOQUIA - MARINILLA</v>
      </c>
      <c r="F82">
        <v>56608</v>
      </c>
      <c r="G82">
        <v>34.28</v>
      </c>
      <c r="H82">
        <v>21.0822</v>
      </c>
      <c r="I82">
        <f t="shared" si="3"/>
        <v>2</v>
      </c>
    </row>
    <row r="83" spans="2:9" x14ac:dyDescent="0.25">
      <c r="B83">
        <v>5467</v>
      </c>
      <c r="C83" t="s">
        <v>417</v>
      </c>
      <c r="D83" t="s">
        <v>487</v>
      </c>
      <c r="E83" t="str">
        <f t="shared" si="2"/>
        <v>ANTIOQUIA - MONTEBELLO</v>
      </c>
      <c r="F83">
        <v>5707</v>
      </c>
      <c r="G83">
        <v>1.31</v>
      </c>
      <c r="H83">
        <v>0.80564999999999998</v>
      </c>
      <c r="I83">
        <f t="shared" si="3"/>
        <v>1</v>
      </c>
    </row>
    <row r="84" spans="2:9" x14ac:dyDescent="0.25">
      <c r="B84">
        <v>5475</v>
      </c>
      <c r="C84" t="s">
        <v>417</v>
      </c>
      <c r="D84" t="s">
        <v>488</v>
      </c>
      <c r="E84" t="str">
        <f t="shared" si="2"/>
        <v>ANTIOQUIA - MURINDÓ</v>
      </c>
      <c r="F84">
        <v>4992</v>
      </c>
      <c r="G84">
        <v>0.42</v>
      </c>
      <c r="H84">
        <v>0.25829999999999997</v>
      </c>
      <c r="I84">
        <f t="shared" si="3"/>
        <v>1</v>
      </c>
    </row>
    <row r="85" spans="2:9" x14ac:dyDescent="0.25">
      <c r="B85">
        <v>5480</v>
      </c>
      <c r="C85" t="s">
        <v>417</v>
      </c>
      <c r="D85" t="s">
        <v>489</v>
      </c>
      <c r="E85" t="str">
        <f t="shared" si="2"/>
        <v>ANTIOQUIA - MUTATÁ</v>
      </c>
      <c r="F85">
        <v>22505</v>
      </c>
      <c r="G85">
        <v>12.12</v>
      </c>
      <c r="H85">
        <v>7.4537999999999993</v>
      </c>
      <c r="I85">
        <f t="shared" si="3"/>
        <v>1</v>
      </c>
    </row>
    <row r="86" spans="2:9" x14ac:dyDescent="0.25">
      <c r="B86">
        <v>5483</v>
      </c>
      <c r="C86" t="s">
        <v>417</v>
      </c>
      <c r="D86" t="s">
        <v>490</v>
      </c>
      <c r="E86" t="str">
        <f t="shared" si="2"/>
        <v>ANTIOQUIA - NARIÑO</v>
      </c>
      <c r="F86">
        <v>18100</v>
      </c>
      <c r="G86">
        <v>1.5</v>
      </c>
      <c r="H86">
        <v>0.92249999999999999</v>
      </c>
      <c r="I86">
        <f t="shared" si="3"/>
        <v>1</v>
      </c>
    </row>
    <row r="87" spans="2:9" x14ac:dyDescent="0.25">
      <c r="B87">
        <v>5490</v>
      </c>
      <c r="C87" t="s">
        <v>417</v>
      </c>
      <c r="D87" t="s">
        <v>491</v>
      </c>
      <c r="E87" t="str">
        <f t="shared" si="2"/>
        <v>ANTIOQUIA - NECOCLÍ</v>
      </c>
      <c r="F87">
        <v>69090</v>
      </c>
      <c r="G87">
        <v>21.35</v>
      </c>
      <c r="H87">
        <v>13.13025</v>
      </c>
      <c r="I87">
        <f t="shared" si="3"/>
        <v>2</v>
      </c>
    </row>
    <row r="88" spans="2:9" x14ac:dyDescent="0.25">
      <c r="B88">
        <v>5495</v>
      </c>
      <c r="C88" t="s">
        <v>417</v>
      </c>
      <c r="D88" t="s">
        <v>492</v>
      </c>
      <c r="E88" t="str">
        <f t="shared" si="2"/>
        <v>ANTIOQUIA - NECHÍ</v>
      </c>
      <c r="F88">
        <v>29270</v>
      </c>
      <c r="G88">
        <v>5.65</v>
      </c>
      <c r="H88">
        <v>3.4747500000000002</v>
      </c>
      <c r="I88">
        <f t="shared" si="3"/>
        <v>1</v>
      </c>
    </row>
    <row r="89" spans="2:9" x14ac:dyDescent="0.25">
      <c r="B89">
        <v>5501</v>
      </c>
      <c r="C89" t="s">
        <v>417</v>
      </c>
      <c r="D89" t="s">
        <v>493</v>
      </c>
      <c r="E89" t="str">
        <f t="shared" si="2"/>
        <v>ANTIOQUIA - OLAYA</v>
      </c>
      <c r="F89">
        <v>3377</v>
      </c>
      <c r="G89">
        <v>0.73</v>
      </c>
      <c r="H89">
        <v>0.44894999999999996</v>
      </c>
      <c r="I89">
        <f t="shared" si="3"/>
        <v>1</v>
      </c>
    </row>
    <row r="90" spans="2:9" x14ac:dyDescent="0.25">
      <c r="B90">
        <v>5541</v>
      </c>
      <c r="C90" t="s">
        <v>417</v>
      </c>
      <c r="D90" t="s">
        <v>494</v>
      </c>
      <c r="E90" t="str">
        <f t="shared" si="2"/>
        <v>ANTIOQUIA - PEÑOL</v>
      </c>
      <c r="F90">
        <v>15690</v>
      </c>
      <c r="G90">
        <v>10.43</v>
      </c>
      <c r="H90">
        <v>6.4144499999999995</v>
      </c>
      <c r="I90">
        <f t="shared" si="3"/>
        <v>1</v>
      </c>
    </row>
    <row r="91" spans="2:9" x14ac:dyDescent="0.25">
      <c r="B91">
        <v>5543</v>
      </c>
      <c r="C91" t="s">
        <v>417</v>
      </c>
      <c r="D91" t="s">
        <v>495</v>
      </c>
      <c r="E91" t="str">
        <f t="shared" si="2"/>
        <v>ANTIOQUIA - PEQUE</v>
      </c>
      <c r="F91">
        <v>11462</v>
      </c>
      <c r="G91">
        <v>1.1299999999999999</v>
      </c>
      <c r="H91">
        <v>0.69494999999999996</v>
      </c>
      <c r="I91">
        <f t="shared" si="3"/>
        <v>1</v>
      </c>
    </row>
    <row r="92" spans="2:9" x14ac:dyDescent="0.25">
      <c r="B92">
        <v>5576</v>
      </c>
      <c r="C92" t="s">
        <v>417</v>
      </c>
      <c r="D92" t="s">
        <v>496</v>
      </c>
      <c r="E92" t="str">
        <f t="shared" si="2"/>
        <v>ANTIOQUIA - PUEBLORRICO</v>
      </c>
      <c r="F92">
        <v>6558</v>
      </c>
      <c r="G92">
        <v>2.3199999999999998</v>
      </c>
      <c r="H92">
        <v>1.4267999999999998</v>
      </c>
      <c r="I92">
        <f t="shared" si="3"/>
        <v>1</v>
      </c>
    </row>
    <row r="93" spans="2:9" x14ac:dyDescent="0.25">
      <c r="B93">
        <v>5579</v>
      </c>
      <c r="C93" t="s">
        <v>417</v>
      </c>
      <c r="D93" t="s">
        <v>497</v>
      </c>
      <c r="E93" t="str">
        <f t="shared" si="2"/>
        <v>ANTIOQUIA - PUERTO BERRÍO</v>
      </c>
      <c r="F93">
        <v>50232</v>
      </c>
      <c r="G93">
        <v>17.440000000000001</v>
      </c>
      <c r="H93">
        <v>10.7256</v>
      </c>
      <c r="I93">
        <f t="shared" si="3"/>
        <v>2</v>
      </c>
    </row>
    <row r="94" spans="2:9" x14ac:dyDescent="0.25">
      <c r="B94">
        <v>5585</v>
      </c>
      <c r="C94" t="s">
        <v>417</v>
      </c>
      <c r="D94" t="s">
        <v>498</v>
      </c>
      <c r="E94" t="str">
        <f t="shared" si="2"/>
        <v>ANTIOQUIA - PUERTO NARE</v>
      </c>
      <c r="F94">
        <v>19382</v>
      </c>
      <c r="G94">
        <v>6.31</v>
      </c>
      <c r="H94">
        <v>3.8806499999999997</v>
      </c>
      <c r="I94">
        <f t="shared" si="3"/>
        <v>1</v>
      </c>
    </row>
    <row r="95" spans="2:9" x14ac:dyDescent="0.25">
      <c r="B95">
        <v>5591</v>
      </c>
      <c r="C95" t="s">
        <v>417</v>
      </c>
      <c r="D95" t="s">
        <v>499</v>
      </c>
      <c r="E95" t="str">
        <f t="shared" si="2"/>
        <v>ANTIOQUIA - PUERTO TRIUNFO</v>
      </c>
      <c r="F95">
        <v>21745</v>
      </c>
      <c r="G95">
        <v>10.3</v>
      </c>
      <c r="H95">
        <v>6.3345000000000002</v>
      </c>
      <c r="I95">
        <f t="shared" si="3"/>
        <v>1</v>
      </c>
    </row>
    <row r="96" spans="2:9" x14ac:dyDescent="0.25">
      <c r="B96">
        <v>5604</v>
      </c>
      <c r="C96" t="s">
        <v>417</v>
      </c>
      <c r="D96" t="s">
        <v>500</v>
      </c>
      <c r="E96" t="str">
        <f t="shared" si="2"/>
        <v>ANTIOQUIA - REMEDIOS</v>
      </c>
      <c r="F96">
        <v>32057</v>
      </c>
      <c r="G96">
        <v>12.86</v>
      </c>
      <c r="H96">
        <v>7.9088999999999992</v>
      </c>
      <c r="I96">
        <f t="shared" si="3"/>
        <v>1</v>
      </c>
    </row>
    <row r="97" spans="2:9" x14ac:dyDescent="0.25">
      <c r="B97">
        <v>5607</v>
      </c>
      <c r="C97" t="s">
        <v>417</v>
      </c>
      <c r="D97" t="s">
        <v>501</v>
      </c>
      <c r="E97" t="str">
        <f t="shared" si="2"/>
        <v>ANTIOQUIA - RETIRO</v>
      </c>
      <c r="F97">
        <v>19898</v>
      </c>
      <c r="G97">
        <v>15.11</v>
      </c>
      <c r="H97">
        <v>9.2926500000000001</v>
      </c>
      <c r="I97">
        <f t="shared" si="3"/>
        <v>1</v>
      </c>
    </row>
    <row r="98" spans="2:9" x14ac:dyDescent="0.25">
      <c r="B98">
        <v>5615</v>
      </c>
      <c r="C98" t="s">
        <v>417</v>
      </c>
      <c r="D98" t="s">
        <v>502</v>
      </c>
      <c r="E98" t="str">
        <f t="shared" si="2"/>
        <v>ANTIOQUIA - RIONEGRO</v>
      </c>
      <c r="F98">
        <v>128153</v>
      </c>
      <c r="G98">
        <v>120.37</v>
      </c>
      <c r="H98">
        <v>74.027550000000005</v>
      </c>
      <c r="I98">
        <f t="shared" si="3"/>
        <v>3</v>
      </c>
    </row>
    <row r="99" spans="2:9" x14ac:dyDescent="0.25">
      <c r="B99">
        <v>5628</v>
      </c>
      <c r="C99" t="s">
        <v>417</v>
      </c>
      <c r="D99" t="s">
        <v>503</v>
      </c>
      <c r="E99" t="str">
        <f t="shared" si="2"/>
        <v>ANTIOQUIA - SABANALARGA</v>
      </c>
      <c r="F99">
        <v>8191</v>
      </c>
      <c r="G99">
        <v>1.1000000000000001</v>
      </c>
      <c r="H99">
        <v>0.67649999999999999</v>
      </c>
      <c r="I99">
        <f t="shared" si="3"/>
        <v>1</v>
      </c>
    </row>
    <row r="100" spans="2:9" x14ac:dyDescent="0.25">
      <c r="B100">
        <v>5631</v>
      </c>
      <c r="C100" t="s">
        <v>417</v>
      </c>
      <c r="D100" t="s">
        <v>504</v>
      </c>
      <c r="E100" t="str">
        <f t="shared" si="2"/>
        <v>ANTIOQUIA - SABANETA</v>
      </c>
      <c r="F100">
        <v>54573</v>
      </c>
      <c r="G100">
        <v>76.89</v>
      </c>
      <c r="H100">
        <v>47.287349999999996</v>
      </c>
      <c r="I100">
        <f t="shared" si="3"/>
        <v>2</v>
      </c>
    </row>
    <row r="101" spans="2:9" x14ac:dyDescent="0.25">
      <c r="B101">
        <v>5642</v>
      </c>
      <c r="C101" t="s">
        <v>417</v>
      </c>
      <c r="D101" t="s">
        <v>505</v>
      </c>
      <c r="E101" t="str">
        <f t="shared" si="2"/>
        <v>ANTIOQUIA - SALGAR</v>
      </c>
      <c r="F101">
        <v>17324</v>
      </c>
      <c r="G101">
        <v>4.55</v>
      </c>
      <c r="H101">
        <v>2.7982499999999999</v>
      </c>
      <c r="I101">
        <f t="shared" si="3"/>
        <v>1</v>
      </c>
    </row>
    <row r="102" spans="2:9" x14ac:dyDescent="0.25">
      <c r="B102">
        <v>5647</v>
      </c>
      <c r="C102" t="s">
        <v>417</v>
      </c>
      <c r="D102" t="s">
        <v>506</v>
      </c>
      <c r="E102" t="str">
        <f t="shared" si="2"/>
        <v>ANTIOQUIA - SAN ANDRÉS DE CUERQUÍA</v>
      </c>
      <c r="F102">
        <v>5810</v>
      </c>
      <c r="G102">
        <v>1.86</v>
      </c>
      <c r="H102">
        <v>1.1439000000000001</v>
      </c>
      <c r="I102">
        <f t="shared" si="3"/>
        <v>1</v>
      </c>
    </row>
    <row r="103" spans="2:9" x14ac:dyDescent="0.25">
      <c r="B103">
        <v>5649</v>
      </c>
      <c r="C103" t="s">
        <v>417</v>
      </c>
      <c r="D103" t="s">
        <v>507</v>
      </c>
      <c r="E103" t="str">
        <f t="shared" si="2"/>
        <v>ANTIOQUIA - SAN CARLOS</v>
      </c>
      <c r="F103">
        <v>16152</v>
      </c>
      <c r="G103">
        <v>3.54</v>
      </c>
      <c r="H103">
        <v>2.1770999999999998</v>
      </c>
      <c r="I103">
        <f t="shared" si="3"/>
        <v>1</v>
      </c>
    </row>
    <row r="104" spans="2:9" x14ac:dyDescent="0.25">
      <c r="B104">
        <v>5652</v>
      </c>
      <c r="C104" t="s">
        <v>417</v>
      </c>
      <c r="D104" t="s">
        <v>508</v>
      </c>
      <c r="E104" t="str">
        <f t="shared" si="2"/>
        <v>ANTIOQUIA - SAN FRANCISCO</v>
      </c>
      <c r="F104">
        <v>4918</v>
      </c>
      <c r="G104">
        <v>0.69</v>
      </c>
      <c r="H104">
        <v>0.42434999999999995</v>
      </c>
      <c r="I104">
        <f t="shared" si="3"/>
        <v>1</v>
      </c>
    </row>
    <row r="105" spans="2:9" x14ac:dyDescent="0.25">
      <c r="B105">
        <v>5656</v>
      </c>
      <c r="C105" t="s">
        <v>417</v>
      </c>
      <c r="D105" t="s">
        <v>509</v>
      </c>
      <c r="E105" t="str">
        <f t="shared" si="2"/>
        <v>ANTIOQUIA - SAN JERÓNIMO</v>
      </c>
      <c r="F105">
        <v>12972</v>
      </c>
      <c r="G105">
        <v>9.6</v>
      </c>
      <c r="H105">
        <v>5.9039999999999999</v>
      </c>
      <c r="I105">
        <f t="shared" si="3"/>
        <v>1</v>
      </c>
    </row>
    <row r="106" spans="2:9" x14ac:dyDescent="0.25">
      <c r="B106">
        <v>5658</v>
      </c>
      <c r="C106" t="s">
        <v>417</v>
      </c>
      <c r="D106" t="s">
        <v>510</v>
      </c>
      <c r="E106" t="str">
        <f t="shared" si="2"/>
        <v>ANTIOQUIA - SAN JOSÉ DE LA MONTAÑA</v>
      </c>
      <c r="F106">
        <v>3473</v>
      </c>
      <c r="G106">
        <v>2.74</v>
      </c>
      <c r="H106">
        <v>1.6851</v>
      </c>
      <c r="I106">
        <f t="shared" si="3"/>
        <v>1</v>
      </c>
    </row>
    <row r="107" spans="2:9" x14ac:dyDescent="0.25">
      <c r="B107">
        <v>5659</v>
      </c>
      <c r="C107" t="s">
        <v>417</v>
      </c>
      <c r="D107" t="s">
        <v>511</v>
      </c>
      <c r="E107" t="str">
        <f t="shared" si="2"/>
        <v>ANTIOQUIA - SAN JUAN DE URABÁ</v>
      </c>
      <c r="F107">
        <v>27149</v>
      </c>
      <c r="G107">
        <v>10.68</v>
      </c>
      <c r="H107">
        <v>6.5682</v>
      </c>
      <c r="I107">
        <f t="shared" si="3"/>
        <v>1</v>
      </c>
    </row>
    <row r="108" spans="2:9" x14ac:dyDescent="0.25">
      <c r="B108">
        <v>5660</v>
      </c>
      <c r="C108" t="s">
        <v>417</v>
      </c>
      <c r="D108" t="s">
        <v>512</v>
      </c>
      <c r="E108" t="str">
        <f t="shared" si="2"/>
        <v>ANTIOQUIA - SAN LUIS</v>
      </c>
      <c r="F108">
        <v>10923</v>
      </c>
      <c r="G108">
        <v>3.25</v>
      </c>
      <c r="H108">
        <v>1.99875</v>
      </c>
      <c r="I108">
        <f t="shared" si="3"/>
        <v>1</v>
      </c>
    </row>
    <row r="109" spans="2:9" x14ac:dyDescent="0.25">
      <c r="B109">
        <v>5664</v>
      </c>
      <c r="C109" t="s">
        <v>417</v>
      </c>
      <c r="D109" t="s">
        <v>513</v>
      </c>
      <c r="E109" t="str">
        <f t="shared" si="2"/>
        <v>ANTIOQUIA - SAN PEDRO DE LOS MILAGROS</v>
      </c>
      <c r="F109">
        <v>28438</v>
      </c>
      <c r="G109">
        <v>0.22</v>
      </c>
      <c r="H109">
        <v>0.1353</v>
      </c>
      <c r="I109">
        <f t="shared" si="3"/>
        <v>1</v>
      </c>
    </row>
    <row r="110" spans="2:9" x14ac:dyDescent="0.25">
      <c r="B110">
        <v>5665</v>
      </c>
      <c r="C110" t="s">
        <v>417</v>
      </c>
      <c r="D110" t="s">
        <v>514</v>
      </c>
      <c r="E110" t="str">
        <f t="shared" si="2"/>
        <v>ANTIOQUIA - SAN PEDRO DE URABÁ</v>
      </c>
      <c r="F110">
        <v>32328</v>
      </c>
      <c r="G110">
        <v>11.81</v>
      </c>
      <c r="H110">
        <v>7.2631500000000004</v>
      </c>
      <c r="I110">
        <f t="shared" si="3"/>
        <v>1</v>
      </c>
    </row>
    <row r="111" spans="2:9" x14ac:dyDescent="0.25">
      <c r="B111">
        <v>5667</v>
      </c>
      <c r="C111" t="s">
        <v>417</v>
      </c>
      <c r="D111" t="s">
        <v>515</v>
      </c>
      <c r="E111" t="str">
        <f t="shared" si="2"/>
        <v>ANTIOQUIA - SAN RAFAEL</v>
      </c>
      <c r="F111">
        <v>12769</v>
      </c>
      <c r="G111">
        <v>3.67</v>
      </c>
      <c r="H111">
        <v>2.25705</v>
      </c>
      <c r="I111">
        <f t="shared" si="3"/>
        <v>1</v>
      </c>
    </row>
    <row r="112" spans="2:9" x14ac:dyDescent="0.25">
      <c r="B112">
        <v>5670</v>
      </c>
      <c r="C112" t="s">
        <v>417</v>
      </c>
      <c r="D112" t="s">
        <v>516</v>
      </c>
      <c r="E112" t="str">
        <f t="shared" si="2"/>
        <v>ANTIOQUIA - SAN ROQUE</v>
      </c>
      <c r="F112">
        <v>16232</v>
      </c>
      <c r="G112">
        <v>4.63</v>
      </c>
      <c r="H112">
        <v>2.8474499999999998</v>
      </c>
      <c r="I112">
        <f t="shared" si="3"/>
        <v>1</v>
      </c>
    </row>
    <row r="113" spans="2:9" x14ac:dyDescent="0.25">
      <c r="B113">
        <v>5674</v>
      </c>
      <c r="C113" t="s">
        <v>417</v>
      </c>
      <c r="D113" t="s">
        <v>517</v>
      </c>
      <c r="E113" t="str">
        <f t="shared" si="2"/>
        <v>ANTIOQUIA - SAN VICENTE FERRER</v>
      </c>
      <c r="F113">
        <v>16274</v>
      </c>
      <c r="G113">
        <v>3.42</v>
      </c>
      <c r="H113">
        <v>2.1032999999999999</v>
      </c>
      <c r="I113">
        <f t="shared" si="3"/>
        <v>1</v>
      </c>
    </row>
    <row r="114" spans="2:9" x14ac:dyDescent="0.25">
      <c r="B114">
        <v>5679</v>
      </c>
      <c r="C114" t="s">
        <v>417</v>
      </c>
      <c r="D114" t="s">
        <v>518</v>
      </c>
      <c r="E114" t="str">
        <f t="shared" si="2"/>
        <v>ANTIOQUIA - SANTA BÁRBARA</v>
      </c>
      <c r="F114">
        <v>21413</v>
      </c>
      <c r="G114">
        <v>7.53</v>
      </c>
      <c r="H114">
        <v>4.6309500000000003</v>
      </c>
      <c r="I114">
        <f t="shared" si="3"/>
        <v>1</v>
      </c>
    </row>
    <row r="115" spans="2:9" x14ac:dyDescent="0.25">
      <c r="B115">
        <v>5686</v>
      </c>
      <c r="C115" t="s">
        <v>417</v>
      </c>
      <c r="D115" t="s">
        <v>519</v>
      </c>
      <c r="E115" t="str">
        <f t="shared" si="2"/>
        <v>ANTIOQUIA - SANTA ROSA DE OSOS</v>
      </c>
      <c r="F115">
        <v>37435</v>
      </c>
      <c r="G115">
        <v>16.73</v>
      </c>
      <c r="H115">
        <v>10.28895</v>
      </c>
      <c r="I115">
        <f t="shared" si="3"/>
        <v>2</v>
      </c>
    </row>
    <row r="116" spans="2:9" x14ac:dyDescent="0.25">
      <c r="B116">
        <v>5690</v>
      </c>
      <c r="C116" t="s">
        <v>417</v>
      </c>
      <c r="D116" t="s">
        <v>520</v>
      </c>
      <c r="E116" t="str">
        <f t="shared" si="2"/>
        <v>ANTIOQUIA - SANTO DOMINGO</v>
      </c>
      <c r="F116">
        <v>9927</v>
      </c>
      <c r="G116">
        <v>3.49</v>
      </c>
      <c r="H116">
        <v>2.14635</v>
      </c>
      <c r="I116">
        <f t="shared" si="3"/>
        <v>1</v>
      </c>
    </row>
    <row r="117" spans="2:9" x14ac:dyDescent="0.25">
      <c r="B117">
        <v>5697</v>
      </c>
      <c r="C117" t="s">
        <v>417</v>
      </c>
      <c r="D117" t="s">
        <v>521</v>
      </c>
      <c r="E117" t="str">
        <f t="shared" si="2"/>
        <v>ANTIOQUIA - EL SANTUARIO</v>
      </c>
      <c r="F117">
        <v>27316</v>
      </c>
      <c r="G117">
        <v>14.08</v>
      </c>
      <c r="H117">
        <v>8.6592000000000002</v>
      </c>
      <c r="I117">
        <f t="shared" si="3"/>
        <v>1</v>
      </c>
    </row>
    <row r="118" spans="2:9" x14ac:dyDescent="0.25">
      <c r="B118">
        <v>5736</v>
      </c>
      <c r="C118" t="s">
        <v>417</v>
      </c>
      <c r="D118" t="s">
        <v>522</v>
      </c>
      <c r="E118" t="str">
        <f t="shared" si="2"/>
        <v>ANTIOQUIA - SEGOVIA</v>
      </c>
      <c r="F118">
        <v>42222</v>
      </c>
      <c r="G118">
        <v>41.26</v>
      </c>
      <c r="H118">
        <v>25.374899999999997</v>
      </c>
      <c r="I118">
        <f t="shared" si="3"/>
        <v>2</v>
      </c>
    </row>
    <row r="119" spans="2:9" x14ac:dyDescent="0.25">
      <c r="B119">
        <v>5756</v>
      </c>
      <c r="C119" t="s">
        <v>417</v>
      </c>
      <c r="D119" t="s">
        <v>523</v>
      </c>
      <c r="E119" t="str">
        <f t="shared" si="2"/>
        <v>ANTIOQUIA - SONSÓN</v>
      </c>
      <c r="F119">
        <v>33981</v>
      </c>
      <c r="G119">
        <v>7.71</v>
      </c>
      <c r="H119">
        <v>4.7416499999999999</v>
      </c>
      <c r="I119">
        <f t="shared" si="3"/>
        <v>1</v>
      </c>
    </row>
    <row r="120" spans="2:9" x14ac:dyDescent="0.25">
      <c r="B120">
        <v>5761</v>
      </c>
      <c r="C120" t="s">
        <v>417</v>
      </c>
      <c r="D120" t="s">
        <v>524</v>
      </c>
      <c r="E120" t="str">
        <f t="shared" si="2"/>
        <v>ANTIOQUIA - SOPETRÁN</v>
      </c>
      <c r="F120">
        <v>15172</v>
      </c>
      <c r="G120">
        <v>6.11</v>
      </c>
      <c r="H120">
        <v>3.7576499999999999</v>
      </c>
      <c r="I120">
        <f t="shared" si="3"/>
        <v>1</v>
      </c>
    </row>
    <row r="121" spans="2:9" x14ac:dyDescent="0.25">
      <c r="B121">
        <v>5789</v>
      </c>
      <c r="C121" t="s">
        <v>417</v>
      </c>
      <c r="D121" t="s">
        <v>525</v>
      </c>
      <c r="E121" t="str">
        <f t="shared" si="2"/>
        <v>ANTIOQUIA - TÁMESIS</v>
      </c>
      <c r="F121">
        <v>14059</v>
      </c>
      <c r="G121">
        <v>3.75</v>
      </c>
      <c r="H121">
        <v>2.3062499999999999</v>
      </c>
      <c r="I121">
        <f t="shared" si="3"/>
        <v>1</v>
      </c>
    </row>
    <row r="122" spans="2:9" x14ac:dyDescent="0.25">
      <c r="B122">
        <v>5790</v>
      </c>
      <c r="C122" t="s">
        <v>417</v>
      </c>
      <c r="D122" t="s">
        <v>526</v>
      </c>
      <c r="E122" t="str">
        <f t="shared" si="2"/>
        <v>ANTIOQUIA - TARAZÁ</v>
      </c>
      <c r="F122">
        <v>47625</v>
      </c>
      <c r="G122">
        <v>10.17</v>
      </c>
      <c r="H122">
        <v>6.2545500000000001</v>
      </c>
      <c r="I122">
        <f t="shared" si="3"/>
        <v>1</v>
      </c>
    </row>
    <row r="123" spans="2:9" x14ac:dyDescent="0.25">
      <c r="B123">
        <v>5792</v>
      </c>
      <c r="C123" t="s">
        <v>417</v>
      </c>
      <c r="D123" t="s">
        <v>527</v>
      </c>
      <c r="E123" t="str">
        <f t="shared" si="2"/>
        <v>ANTIOQUIA - TARSO</v>
      </c>
      <c r="F123">
        <v>8152</v>
      </c>
      <c r="G123">
        <v>1.68</v>
      </c>
      <c r="H123">
        <v>1.0331999999999999</v>
      </c>
      <c r="I123">
        <f t="shared" si="3"/>
        <v>1</v>
      </c>
    </row>
    <row r="124" spans="2:9" x14ac:dyDescent="0.25">
      <c r="B124">
        <v>5809</v>
      </c>
      <c r="C124" t="s">
        <v>417</v>
      </c>
      <c r="D124" t="s">
        <v>528</v>
      </c>
      <c r="E124" t="str">
        <f t="shared" si="2"/>
        <v>ANTIOQUIA - TITIRIBÍ</v>
      </c>
      <c r="F124">
        <v>14791</v>
      </c>
      <c r="G124">
        <v>1.76</v>
      </c>
      <c r="H124">
        <v>1.0824</v>
      </c>
      <c r="I124">
        <f t="shared" si="3"/>
        <v>1</v>
      </c>
    </row>
    <row r="125" spans="2:9" x14ac:dyDescent="0.25">
      <c r="B125">
        <v>5819</v>
      </c>
      <c r="C125" t="s">
        <v>417</v>
      </c>
      <c r="D125" t="s">
        <v>529</v>
      </c>
      <c r="E125" t="str">
        <f t="shared" si="2"/>
        <v>ANTIOQUIA - TOLEDO</v>
      </c>
      <c r="F125">
        <v>6744</v>
      </c>
      <c r="G125">
        <v>1.7</v>
      </c>
      <c r="H125">
        <v>1.0454999999999999</v>
      </c>
      <c r="I125">
        <f t="shared" si="3"/>
        <v>1</v>
      </c>
    </row>
    <row r="126" spans="2:9" x14ac:dyDescent="0.25">
      <c r="B126">
        <v>5837</v>
      </c>
      <c r="C126" t="s">
        <v>417</v>
      </c>
      <c r="D126" t="s">
        <v>530</v>
      </c>
      <c r="E126" t="str">
        <f t="shared" si="2"/>
        <v>ANTIOQUIA - TURBO</v>
      </c>
      <c r="F126">
        <v>176813</v>
      </c>
      <c r="G126">
        <v>70.09</v>
      </c>
      <c r="H126">
        <v>43.105350000000001</v>
      </c>
      <c r="I126">
        <f t="shared" si="3"/>
        <v>2</v>
      </c>
    </row>
    <row r="127" spans="2:9" x14ac:dyDescent="0.25">
      <c r="B127">
        <v>5842</v>
      </c>
      <c r="C127" t="s">
        <v>417</v>
      </c>
      <c r="D127" t="s">
        <v>531</v>
      </c>
      <c r="E127" t="str">
        <f t="shared" si="2"/>
        <v>ANTIOQUIA - URAMITA</v>
      </c>
      <c r="F127">
        <v>8203</v>
      </c>
      <c r="G127">
        <v>0.88</v>
      </c>
      <c r="H127">
        <v>0.54120000000000001</v>
      </c>
      <c r="I127">
        <f t="shared" si="3"/>
        <v>1</v>
      </c>
    </row>
    <row r="128" spans="2:9" x14ac:dyDescent="0.25">
      <c r="B128">
        <v>5847</v>
      </c>
      <c r="C128" t="s">
        <v>417</v>
      </c>
      <c r="D128" t="s">
        <v>532</v>
      </c>
      <c r="E128" t="str">
        <f t="shared" si="2"/>
        <v>ANTIOQUIA - URRAO</v>
      </c>
      <c r="F128">
        <v>47128</v>
      </c>
      <c r="G128">
        <v>4.88</v>
      </c>
      <c r="H128">
        <v>3.0011999999999999</v>
      </c>
      <c r="I128">
        <f t="shared" si="3"/>
        <v>1</v>
      </c>
    </row>
    <row r="129" spans="2:9" x14ac:dyDescent="0.25">
      <c r="B129">
        <v>5854</v>
      </c>
      <c r="C129" t="s">
        <v>417</v>
      </c>
      <c r="D129" t="s">
        <v>533</v>
      </c>
      <c r="E129" t="str">
        <f t="shared" si="2"/>
        <v>ANTIOQUIA - VALDIVIA</v>
      </c>
      <c r="F129">
        <v>24538</v>
      </c>
      <c r="G129">
        <v>5.91</v>
      </c>
      <c r="H129">
        <v>3.6346500000000002</v>
      </c>
      <c r="I129">
        <f t="shared" si="3"/>
        <v>1</v>
      </c>
    </row>
    <row r="130" spans="2:9" x14ac:dyDescent="0.25">
      <c r="B130">
        <v>5856</v>
      </c>
      <c r="C130" t="s">
        <v>417</v>
      </c>
      <c r="D130" t="s">
        <v>534</v>
      </c>
      <c r="E130" t="str">
        <f t="shared" si="2"/>
        <v>ANTIOQUIA - VALPARAÍSO</v>
      </c>
      <c r="F130">
        <v>6084</v>
      </c>
      <c r="G130">
        <v>0.57999999999999996</v>
      </c>
      <c r="H130">
        <v>0.35669999999999996</v>
      </c>
      <c r="I130">
        <f t="shared" si="3"/>
        <v>1</v>
      </c>
    </row>
    <row r="131" spans="2:9" x14ac:dyDescent="0.25">
      <c r="B131">
        <v>5858</v>
      </c>
      <c r="C131" t="s">
        <v>417</v>
      </c>
      <c r="D131" t="s">
        <v>535</v>
      </c>
      <c r="E131" t="str">
        <f t="shared" si="2"/>
        <v>ANTIOQUIA - VEGACHÍ</v>
      </c>
      <c r="F131">
        <v>8783</v>
      </c>
      <c r="G131">
        <v>4.6900000000000004</v>
      </c>
      <c r="H131">
        <v>2.8843500000000004</v>
      </c>
      <c r="I131">
        <f t="shared" si="3"/>
        <v>1</v>
      </c>
    </row>
    <row r="132" spans="2:9" x14ac:dyDescent="0.25">
      <c r="B132">
        <v>5861</v>
      </c>
      <c r="C132" t="s">
        <v>417</v>
      </c>
      <c r="D132" t="s">
        <v>536</v>
      </c>
      <c r="E132" t="str">
        <f t="shared" ref="E132:E195" si="4">C132&amp;" - "&amp;D132</f>
        <v>ANTIOQUIA - VENECIA</v>
      </c>
      <c r="F132">
        <v>13158</v>
      </c>
      <c r="G132">
        <v>6.11</v>
      </c>
      <c r="H132">
        <v>3.7576499999999999</v>
      </c>
      <c r="I132">
        <f t="shared" ref="I132:I195" si="5">IF(H132&lt;$P$3,$O$3,IF(H132&lt;$P$4,$O$4,IF(H132&lt;$P$5,$O$5,$O$6)))</f>
        <v>1</v>
      </c>
    </row>
    <row r="133" spans="2:9" x14ac:dyDescent="0.25">
      <c r="B133">
        <v>5873</v>
      </c>
      <c r="C133" t="s">
        <v>417</v>
      </c>
      <c r="D133" t="s">
        <v>537</v>
      </c>
      <c r="E133" t="str">
        <f t="shared" si="4"/>
        <v>ANTIOQUIA - VIGÍA DEL FUERTE</v>
      </c>
      <c r="F133">
        <v>5623</v>
      </c>
      <c r="G133">
        <v>1.43</v>
      </c>
      <c r="H133">
        <v>0.87944999999999995</v>
      </c>
      <c r="I133">
        <f t="shared" si="5"/>
        <v>1</v>
      </c>
    </row>
    <row r="134" spans="2:9" x14ac:dyDescent="0.25">
      <c r="B134">
        <v>5885</v>
      </c>
      <c r="C134" t="s">
        <v>417</v>
      </c>
      <c r="D134" t="s">
        <v>538</v>
      </c>
      <c r="E134" t="str">
        <f t="shared" si="4"/>
        <v>ANTIOQUIA - YALÍ</v>
      </c>
      <c r="F134">
        <v>8672</v>
      </c>
      <c r="G134">
        <v>3.05</v>
      </c>
      <c r="H134">
        <v>1.8757499999999998</v>
      </c>
      <c r="I134">
        <f t="shared" si="5"/>
        <v>1</v>
      </c>
    </row>
    <row r="135" spans="2:9" x14ac:dyDescent="0.25">
      <c r="B135">
        <v>5887</v>
      </c>
      <c r="C135" t="s">
        <v>417</v>
      </c>
      <c r="D135" t="s">
        <v>539</v>
      </c>
      <c r="E135" t="str">
        <f t="shared" si="4"/>
        <v>ANTIOQUIA - YARUMAL</v>
      </c>
      <c r="F135">
        <v>49109</v>
      </c>
      <c r="G135">
        <v>10.82</v>
      </c>
      <c r="H135">
        <v>6.6543000000000001</v>
      </c>
      <c r="I135">
        <f t="shared" si="5"/>
        <v>1</v>
      </c>
    </row>
    <row r="136" spans="2:9" x14ac:dyDescent="0.25">
      <c r="B136">
        <v>5890</v>
      </c>
      <c r="C136" t="s">
        <v>417</v>
      </c>
      <c r="D136" t="s">
        <v>540</v>
      </c>
      <c r="E136" t="str">
        <f t="shared" si="4"/>
        <v>ANTIOQUIA - YOLOMBÓ</v>
      </c>
      <c r="F136">
        <v>25647</v>
      </c>
      <c r="G136">
        <v>3.86</v>
      </c>
      <c r="H136">
        <v>2.3738999999999999</v>
      </c>
      <c r="I136">
        <f t="shared" si="5"/>
        <v>1</v>
      </c>
    </row>
    <row r="137" spans="2:9" x14ac:dyDescent="0.25">
      <c r="B137">
        <v>5893</v>
      </c>
      <c r="C137" t="s">
        <v>417</v>
      </c>
      <c r="D137" t="s">
        <v>541</v>
      </c>
      <c r="E137" t="str">
        <f t="shared" si="4"/>
        <v>ANTIOQUIA - YONDÓ</v>
      </c>
      <c r="F137">
        <v>20136</v>
      </c>
      <c r="G137">
        <v>5.72</v>
      </c>
      <c r="H137">
        <v>3.5177999999999998</v>
      </c>
      <c r="I137">
        <f t="shared" si="5"/>
        <v>1</v>
      </c>
    </row>
    <row r="138" spans="2:9" x14ac:dyDescent="0.25">
      <c r="B138">
        <v>5895</v>
      </c>
      <c r="C138" t="s">
        <v>417</v>
      </c>
      <c r="D138" t="s">
        <v>542</v>
      </c>
      <c r="E138" t="str">
        <f t="shared" si="4"/>
        <v>ANTIOQUIA - ZARAGOZA</v>
      </c>
      <c r="F138">
        <v>32265</v>
      </c>
      <c r="G138">
        <v>7.37</v>
      </c>
      <c r="H138">
        <v>4.5325499999999996</v>
      </c>
      <c r="I138">
        <f t="shared" si="5"/>
        <v>1</v>
      </c>
    </row>
    <row r="139" spans="2:9" x14ac:dyDescent="0.25">
      <c r="B139">
        <v>81001</v>
      </c>
      <c r="C139" t="s">
        <v>543</v>
      </c>
      <c r="D139" t="s">
        <v>543</v>
      </c>
      <c r="E139" t="str">
        <f t="shared" si="4"/>
        <v>ARAUCA - ARAUCA</v>
      </c>
      <c r="F139">
        <v>93261</v>
      </c>
      <c r="G139">
        <v>71.75</v>
      </c>
      <c r="H139">
        <v>44.126249999999999</v>
      </c>
      <c r="I139">
        <f t="shared" si="5"/>
        <v>2</v>
      </c>
    </row>
    <row r="140" spans="2:9" x14ac:dyDescent="0.25">
      <c r="B140">
        <v>81065</v>
      </c>
      <c r="C140" t="s">
        <v>543</v>
      </c>
      <c r="D140" t="s">
        <v>544</v>
      </c>
      <c r="E140" t="str">
        <f t="shared" si="4"/>
        <v>ARAUCA - ARAUQUITA</v>
      </c>
      <c r="F140">
        <v>42977</v>
      </c>
      <c r="G140">
        <v>7.38</v>
      </c>
      <c r="H140">
        <v>4.5386999999999995</v>
      </c>
      <c r="I140">
        <f t="shared" si="5"/>
        <v>1</v>
      </c>
    </row>
    <row r="141" spans="2:9" x14ac:dyDescent="0.25">
      <c r="B141">
        <v>81220</v>
      </c>
      <c r="C141" t="s">
        <v>543</v>
      </c>
      <c r="D141" t="s">
        <v>545</v>
      </c>
      <c r="E141" t="str">
        <f t="shared" si="4"/>
        <v>ARAUCA - CRAVO NORTE</v>
      </c>
      <c r="F141">
        <v>3190</v>
      </c>
      <c r="G141">
        <v>1.37</v>
      </c>
      <c r="H141">
        <v>0.84255000000000002</v>
      </c>
      <c r="I141">
        <f t="shared" si="5"/>
        <v>1</v>
      </c>
    </row>
    <row r="142" spans="2:9" x14ac:dyDescent="0.25">
      <c r="B142">
        <v>81300</v>
      </c>
      <c r="C142" t="s">
        <v>543</v>
      </c>
      <c r="D142" t="s">
        <v>546</v>
      </c>
      <c r="E142" t="str">
        <f t="shared" si="4"/>
        <v>ARAUCA - FORTUL</v>
      </c>
      <c r="F142">
        <v>26798</v>
      </c>
      <c r="G142">
        <v>5.83</v>
      </c>
      <c r="H142">
        <v>3.5854499999999998</v>
      </c>
      <c r="I142">
        <f t="shared" si="5"/>
        <v>1</v>
      </c>
    </row>
    <row r="143" spans="2:9" x14ac:dyDescent="0.25">
      <c r="B143">
        <v>81591</v>
      </c>
      <c r="C143" t="s">
        <v>543</v>
      </c>
      <c r="D143" t="s">
        <v>547</v>
      </c>
      <c r="E143" t="str">
        <f t="shared" si="4"/>
        <v>ARAUCA - PUERTO RONDÓN</v>
      </c>
      <c r="F143">
        <v>3820</v>
      </c>
      <c r="G143">
        <v>0.78</v>
      </c>
      <c r="H143">
        <v>0.47970000000000002</v>
      </c>
      <c r="I143">
        <f t="shared" si="5"/>
        <v>1</v>
      </c>
    </row>
    <row r="144" spans="2:9" x14ac:dyDescent="0.25">
      <c r="B144">
        <v>81736</v>
      </c>
      <c r="C144" t="s">
        <v>543</v>
      </c>
      <c r="D144" t="s">
        <v>548</v>
      </c>
      <c r="E144" t="str">
        <f t="shared" si="4"/>
        <v>ARAUCA - SARAVENA</v>
      </c>
      <c r="F144">
        <v>48647</v>
      </c>
      <c r="G144">
        <v>27.55</v>
      </c>
      <c r="H144">
        <v>16.943249999999999</v>
      </c>
      <c r="I144">
        <f t="shared" si="5"/>
        <v>2</v>
      </c>
    </row>
    <row r="145" spans="2:9" x14ac:dyDescent="0.25">
      <c r="B145">
        <v>81794</v>
      </c>
      <c r="C145" t="s">
        <v>543</v>
      </c>
      <c r="D145" t="s">
        <v>549</v>
      </c>
      <c r="E145" t="str">
        <f t="shared" si="4"/>
        <v>ARAUCA - TAME</v>
      </c>
      <c r="F145">
        <v>54628</v>
      </c>
      <c r="G145">
        <v>18.21</v>
      </c>
      <c r="H145">
        <v>11.199149999999999</v>
      </c>
      <c r="I145">
        <f t="shared" si="5"/>
        <v>2</v>
      </c>
    </row>
    <row r="146" spans="2:9" x14ac:dyDescent="0.25">
      <c r="B146">
        <v>88001</v>
      </c>
      <c r="C146" t="s">
        <v>550</v>
      </c>
      <c r="D146" t="s">
        <v>551</v>
      </c>
      <c r="E146" t="str">
        <f t="shared" si="4"/>
        <v>ARCHIPIÉLAGO DE SAN ANDRÉS, PROVIDENCIA Y
SANTA CATALINA - SAN ANDRÉS</v>
      </c>
      <c r="F146">
        <v>73850</v>
      </c>
      <c r="G146">
        <v>71.98</v>
      </c>
      <c r="H146">
        <v>44.267700000000005</v>
      </c>
      <c r="I146">
        <f t="shared" si="5"/>
        <v>2</v>
      </c>
    </row>
    <row r="147" spans="2:9" x14ac:dyDescent="0.25">
      <c r="B147">
        <v>88564</v>
      </c>
      <c r="C147" t="s">
        <v>550</v>
      </c>
      <c r="D147" t="s">
        <v>552</v>
      </c>
      <c r="E147" t="str">
        <f t="shared" si="4"/>
        <v>ARCHIPIÉLAGO DE SAN ANDRÉS, PROVIDENCIA Y
SANTA CATALINA - PROVIDENCIA</v>
      </c>
      <c r="F147">
        <v>5210</v>
      </c>
      <c r="G147">
        <v>2.66</v>
      </c>
      <c r="H147">
        <v>1.6359000000000001</v>
      </c>
      <c r="I147">
        <f t="shared" si="5"/>
        <v>1</v>
      </c>
    </row>
    <row r="148" spans="2:9" x14ac:dyDescent="0.25">
      <c r="B148">
        <v>8001</v>
      </c>
      <c r="C148" t="s">
        <v>553</v>
      </c>
      <c r="D148" t="s">
        <v>554</v>
      </c>
      <c r="E148" t="str">
        <f t="shared" si="4"/>
        <v>ATLÁNTICO - BARRANQUILLA</v>
      </c>
      <c r="F148">
        <v>1236202</v>
      </c>
      <c r="G148">
        <v>1516.9</v>
      </c>
      <c r="H148">
        <v>932.89350000000002</v>
      </c>
      <c r="I148">
        <f t="shared" si="5"/>
        <v>4</v>
      </c>
    </row>
    <row r="149" spans="2:9" x14ac:dyDescent="0.25">
      <c r="B149">
        <v>8078</v>
      </c>
      <c r="C149" t="s">
        <v>553</v>
      </c>
      <c r="D149" t="s">
        <v>555</v>
      </c>
      <c r="E149" t="str">
        <f t="shared" si="4"/>
        <v>ATLÁNTICO - BARANOA</v>
      </c>
      <c r="F149">
        <v>60092</v>
      </c>
      <c r="G149">
        <v>49.73</v>
      </c>
      <c r="H149">
        <v>30.583949999999998</v>
      </c>
      <c r="I149">
        <f t="shared" si="5"/>
        <v>2</v>
      </c>
    </row>
    <row r="150" spans="2:9" x14ac:dyDescent="0.25">
      <c r="B150">
        <v>8137</v>
      </c>
      <c r="C150" t="s">
        <v>553</v>
      </c>
      <c r="D150" t="s">
        <v>556</v>
      </c>
      <c r="E150" t="str">
        <f t="shared" si="4"/>
        <v>ATLÁNTICO - CAMPO DE LA CRUZ</v>
      </c>
      <c r="F150">
        <v>14933</v>
      </c>
      <c r="G150">
        <v>7.97</v>
      </c>
      <c r="H150">
        <v>4.9015499999999994</v>
      </c>
      <c r="I150">
        <f t="shared" si="5"/>
        <v>1</v>
      </c>
    </row>
    <row r="151" spans="2:9" x14ac:dyDescent="0.25">
      <c r="B151">
        <v>8141</v>
      </c>
      <c r="C151" t="s">
        <v>553</v>
      </c>
      <c r="D151" t="s">
        <v>557</v>
      </c>
      <c r="E151" t="str">
        <f t="shared" si="4"/>
        <v>ATLÁNTICO - CANDELARIA</v>
      </c>
      <c r="F151">
        <v>12576</v>
      </c>
      <c r="G151">
        <v>5.87</v>
      </c>
      <c r="H151">
        <v>3.6100500000000002</v>
      </c>
      <c r="I151">
        <f t="shared" si="5"/>
        <v>1</v>
      </c>
    </row>
    <row r="152" spans="2:9" x14ac:dyDescent="0.25">
      <c r="B152">
        <v>8296</v>
      </c>
      <c r="C152" t="s">
        <v>553</v>
      </c>
      <c r="D152" t="s">
        <v>558</v>
      </c>
      <c r="E152" t="str">
        <f t="shared" si="4"/>
        <v>ATLÁNTICO - GALAPA</v>
      </c>
      <c r="F152">
        <v>47556</v>
      </c>
      <c r="G152">
        <v>42.09</v>
      </c>
      <c r="H152">
        <v>25.885350000000003</v>
      </c>
      <c r="I152">
        <f t="shared" si="5"/>
        <v>2</v>
      </c>
    </row>
    <row r="153" spans="2:9" x14ac:dyDescent="0.25">
      <c r="B153">
        <v>8372</v>
      </c>
      <c r="C153" t="s">
        <v>553</v>
      </c>
      <c r="D153" t="s">
        <v>559</v>
      </c>
      <c r="E153" t="str">
        <f t="shared" si="4"/>
        <v>ATLÁNTICO - JUAN DE ACOSTA</v>
      </c>
      <c r="F153">
        <v>17704</v>
      </c>
      <c r="G153">
        <v>12.89</v>
      </c>
      <c r="H153">
        <v>7.9273500000000006</v>
      </c>
      <c r="I153">
        <f t="shared" si="5"/>
        <v>1</v>
      </c>
    </row>
    <row r="154" spans="2:9" x14ac:dyDescent="0.25">
      <c r="B154">
        <v>8421</v>
      </c>
      <c r="C154" t="s">
        <v>553</v>
      </c>
      <c r="D154" t="s">
        <v>560</v>
      </c>
      <c r="E154" t="str">
        <f t="shared" si="4"/>
        <v>ATLÁNTICO - LURUACO</v>
      </c>
      <c r="F154">
        <v>28246</v>
      </c>
      <c r="G154">
        <v>7.1</v>
      </c>
      <c r="H154">
        <v>4.3664999999999994</v>
      </c>
      <c r="I154">
        <f t="shared" si="5"/>
        <v>1</v>
      </c>
    </row>
    <row r="155" spans="2:9" x14ac:dyDescent="0.25">
      <c r="B155">
        <v>8433</v>
      </c>
      <c r="C155" t="s">
        <v>553</v>
      </c>
      <c r="D155" t="s">
        <v>561</v>
      </c>
      <c r="E155" t="str">
        <f t="shared" si="4"/>
        <v>ATLÁNTICO - MALAMBO</v>
      </c>
      <c r="F155">
        <v>129148</v>
      </c>
      <c r="G155">
        <v>99.03</v>
      </c>
      <c r="H155">
        <v>60.903449999999999</v>
      </c>
      <c r="I155">
        <f t="shared" si="5"/>
        <v>3</v>
      </c>
    </row>
    <row r="156" spans="2:9" x14ac:dyDescent="0.25">
      <c r="B156">
        <v>8436</v>
      </c>
      <c r="C156" t="s">
        <v>553</v>
      </c>
      <c r="D156" t="s">
        <v>562</v>
      </c>
      <c r="E156" t="str">
        <f t="shared" si="4"/>
        <v>ATLÁNTICO - MANATÍ</v>
      </c>
      <c r="F156">
        <v>16473</v>
      </c>
      <c r="G156">
        <v>6.25</v>
      </c>
      <c r="H156">
        <v>3.84375</v>
      </c>
      <c r="I156">
        <f t="shared" si="5"/>
        <v>1</v>
      </c>
    </row>
    <row r="157" spans="2:9" x14ac:dyDescent="0.25">
      <c r="B157">
        <v>8520</v>
      </c>
      <c r="C157" t="s">
        <v>553</v>
      </c>
      <c r="D157" t="s">
        <v>563</v>
      </c>
      <c r="E157" t="str">
        <f t="shared" si="4"/>
        <v>ATLÁNTICO - PALMAR DE VARELA</v>
      </c>
      <c r="F157">
        <v>25886</v>
      </c>
      <c r="G157">
        <v>20.47</v>
      </c>
      <c r="H157">
        <v>12.589049999999999</v>
      </c>
      <c r="I157">
        <f t="shared" si="5"/>
        <v>2</v>
      </c>
    </row>
    <row r="158" spans="2:9" x14ac:dyDescent="0.25">
      <c r="B158">
        <v>8549</v>
      </c>
      <c r="C158" t="s">
        <v>553</v>
      </c>
      <c r="D158" t="s">
        <v>564</v>
      </c>
      <c r="E158" t="str">
        <f t="shared" si="4"/>
        <v>ATLÁNTICO - PIOJÓ</v>
      </c>
      <c r="F158">
        <v>5177</v>
      </c>
      <c r="G158">
        <v>3.06</v>
      </c>
      <c r="H158">
        <v>1.8818999999999999</v>
      </c>
      <c r="I158">
        <f t="shared" si="5"/>
        <v>1</v>
      </c>
    </row>
    <row r="159" spans="2:9" x14ac:dyDescent="0.25">
      <c r="B159">
        <v>8558</v>
      </c>
      <c r="C159" t="s">
        <v>553</v>
      </c>
      <c r="D159" t="s">
        <v>565</v>
      </c>
      <c r="E159" t="str">
        <f t="shared" si="4"/>
        <v>ATLÁNTICO - POLONUEVO</v>
      </c>
      <c r="F159">
        <v>15765</v>
      </c>
      <c r="G159">
        <v>14.82</v>
      </c>
      <c r="H159">
        <v>9.1143000000000001</v>
      </c>
      <c r="I159">
        <f t="shared" si="5"/>
        <v>1</v>
      </c>
    </row>
    <row r="160" spans="2:9" x14ac:dyDescent="0.25">
      <c r="B160">
        <v>8560</v>
      </c>
      <c r="C160" t="s">
        <v>553</v>
      </c>
      <c r="D160" t="s">
        <v>566</v>
      </c>
      <c r="E160" t="str">
        <f t="shared" si="4"/>
        <v>ATLÁNTICO - PONEDERA</v>
      </c>
      <c r="F160">
        <v>23578</v>
      </c>
      <c r="G160">
        <v>12.56</v>
      </c>
      <c r="H160">
        <v>7.7244000000000002</v>
      </c>
      <c r="I160">
        <f t="shared" si="5"/>
        <v>1</v>
      </c>
    </row>
    <row r="161" spans="2:9" x14ac:dyDescent="0.25">
      <c r="B161">
        <v>8573</v>
      </c>
      <c r="C161" t="s">
        <v>553</v>
      </c>
      <c r="D161" t="s">
        <v>567</v>
      </c>
      <c r="E161" t="str">
        <f t="shared" si="4"/>
        <v>ATLÁNTICO - PUERTO COLOMBIA</v>
      </c>
      <c r="F161">
        <v>26595</v>
      </c>
      <c r="G161">
        <v>69.72</v>
      </c>
      <c r="H161">
        <v>42.877800000000001</v>
      </c>
      <c r="I161">
        <f t="shared" si="5"/>
        <v>2</v>
      </c>
    </row>
    <row r="162" spans="2:9" x14ac:dyDescent="0.25">
      <c r="B162">
        <v>8606</v>
      </c>
      <c r="C162" t="s">
        <v>553</v>
      </c>
      <c r="D162" t="s">
        <v>568</v>
      </c>
      <c r="E162" t="str">
        <f t="shared" si="4"/>
        <v>ATLÁNTICO - REPELÓN</v>
      </c>
      <c r="F162">
        <v>27445</v>
      </c>
      <c r="G162">
        <v>11.14</v>
      </c>
      <c r="H162">
        <v>6.8511000000000006</v>
      </c>
      <c r="I162">
        <f t="shared" si="5"/>
        <v>1</v>
      </c>
    </row>
    <row r="163" spans="2:9" x14ac:dyDescent="0.25">
      <c r="B163">
        <v>8634</v>
      </c>
      <c r="C163" t="s">
        <v>553</v>
      </c>
      <c r="D163" t="s">
        <v>569</v>
      </c>
      <c r="E163" t="str">
        <f t="shared" si="4"/>
        <v>ATLÁNTICO - SABANAGRANDE</v>
      </c>
      <c r="F163">
        <v>34369</v>
      </c>
      <c r="G163">
        <v>24.49</v>
      </c>
      <c r="H163">
        <v>15.061349999999999</v>
      </c>
      <c r="I163">
        <f t="shared" si="5"/>
        <v>2</v>
      </c>
    </row>
    <row r="164" spans="2:9" x14ac:dyDescent="0.25">
      <c r="B164">
        <v>8638</v>
      </c>
      <c r="C164" t="s">
        <v>553</v>
      </c>
      <c r="D164" t="s">
        <v>503</v>
      </c>
      <c r="E164" t="str">
        <f t="shared" si="4"/>
        <v>ATLÁNTICO - SABANALARGA</v>
      </c>
      <c r="F164">
        <v>102334</v>
      </c>
      <c r="G164">
        <v>62.04</v>
      </c>
      <c r="H164">
        <v>38.154600000000002</v>
      </c>
      <c r="I164">
        <f t="shared" si="5"/>
        <v>2</v>
      </c>
    </row>
    <row r="165" spans="2:9" x14ac:dyDescent="0.25">
      <c r="B165">
        <v>8675</v>
      </c>
      <c r="C165" t="s">
        <v>553</v>
      </c>
      <c r="D165" t="s">
        <v>570</v>
      </c>
      <c r="E165" t="str">
        <f t="shared" si="4"/>
        <v>ATLÁNTICO - SANTA LUCÍA</v>
      </c>
      <c r="F165">
        <v>11209</v>
      </c>
      <c r="G165">
        <v>4.9800000000000004</v>
      </c>
      <c r="H165">
        <v>3.0627000000000004</v>
      </c>
      <c r="I165">
        <f t="shared" si="5"/>
        <v>1</v>
      </c>
    </row>
    <row r="166" spans="2:9" x14ac:dyDescent="0.25">
      <c r="B166">
        <v>8685</v>
      </c>
      <c r="C166" t="s">
        <v>553</v>
      </c>
      <c r="D166" t="s">
        <v>571</v>
      </c>
      <c r="E166" t="str">
        <f t="shared" si="4"/>
        <v>ATLÁNTICO - SANTO TOMÁS</v>
      </c>
      <c r="F166">
        <v>25775</v>
      </c>
      <c r="G166">
        <v>26</v>
      </c>
      <c r="H166">
        <v>15.99</v>
      </c>
      <c r="I166">
        <f t="shared" si="5"/>
        <v>2</v>
      </c>
    </row>
    <row r="167" spans="2:9" x14ac:dyDescent="0.25">
      <c r="B167">
        <v>8758</v>
      </c>
      <c r="C167" t="s">
        <v>553</v>
      </c>
      <c r="D167" t="s">
        <v>572</v>
      </c>
      <c r="E167" t="str">
        <f t="shared" si="4"/>
        <v>ATLÁNTICO - SOLEDAD</v>
      </c>
      <c r="F167">
        <v>683580</v>
      </c>
      <c r="G167">
        <v>452.76</v>
      </c>
      <c r="H167">
        <v>278.44740000000002</v>
      </c>
      <c r="I167">
        <f t="shared" si="5"/>
        <v>3</v>
      </c>
    </row>
    <row r="168" spans="2:9" x14ac:dyDescent="0.25">
      <c r="B168">
        <v>8770</v>
      </c>
      <c r="C168" t="s">
        <v>553</v>
      </c>
      <c r="D168" t="s">
        <v>573</v>
      </c>
      <c r="E168" t="str">
        <f t="shared" si="4"/>
        <v>ATLÁNTICO - SUAN</v>
      </c>
      <c r="F168">
        <v>8369</v>
      </c>
      <c r="G168">
        <v>7.77</v>
      </c>
      <c r="H168">
        <v>4.7785500000000001</v>
      </c>
      <c r="I168">
        <f t="shared" si="5"/>
        <v>1</v>
      </c>
    </row>
    <row r="169" spans="2:9" x14ac:dyDescent="0.25">
      <c r="B169">
        <v>8832</v>
      </c>
      <c r="C169" t="s">
        <v>553</v>
      </c>
      <c r="D169" t="s">
        <v>574</v>
      </c>
      <c r="E169" t="str">
        <f t="shared" si="4"/>
        <v>ATLÁNTICO - TUBARÁ</v>
      </c>
      <c r="F169">
        <v>11013</v>
      </c>
      <c r="G169">
        <v>6.24</v>
      </c>
      <c r="H169">
        <v>3.8376000000000001</v>
      </c>
      <c r="I169">
        <f t="shared" si="5"/>
        <v>1</v>
      </c>
    </row>
    <row r="170" spans="2:9" x14ac:dyDescent="0.25">
      <c r="B170">
        <v>8849</v>
      </c>
      <c r="C170" t="s">
        <v>553</v>
      </c>
      <c r="D170" t="s">
        <v>575</v>
      </c>
      <c r="E170" t="str">
        <f t="shared" si="4"/>
        <v>ATLÁNTICO - USIACURÍ</v>
      </c>
      <c r="F170">
        <v>9566</v>
      </c>
      <c r="G170">
        <v>6.29</v>
      </c>
      <c r="H170">
        <v>3.86835</v>
      </c>
      <c r="I170">
        <f t="shared" si="5"/>
        <v>1</v>
      </c>
    </row>
    <row r="171" spans="2:9" x14ac:dyDescent="0.25">
      <c r="B171">
        <v>11001</v>
      </c>
      <c r="C171" t="s">
        <v>576</v>
      </c>
      <c r="D171" t="s">
        <v>576</v>
      </c>
      <c r="E171" t="str">
        <f t="shared" si="4"/>
        <v>BOGOTÁ, D.C. - BOGOTÁ, D.C.</v>
      </c>
      <c r="F171">
        <v>8281030</v>
      </c>
      <c r="G171">
        <v>6952.49</v>
      </c>
      <c r="H171">
        <v>4275.7813500000002</v>
      </c>
      <c r="I171">
        <f t="shared" si="5"/>
        <v>4</v>
      </c>
    </row>
    <row r="172" spans="2:9" x14ac:dyDescent="0.25">
      <c r="B172">
        <v>13001</v>
      </c>
      <c r="C172" t="s">
        <v>577</v>
      </c>
      <c r="D172" t="s">
        <v>578</v>
      </c>
      <c r="E172" t="str">
        <f t="shared" si="4"/>
        <v>BOLÍVAR - CARTAGENA DE INDIAS</v>
      </c>
      <c r="F172">
        <v>1047005</v>
      </c>
      <c r="G172">
        <v>1264.1300000000001</v>
      </c>
      <c r="H172">
        <v>777.43995000000007</v>
      </c>
      <c r="I172">
        <f t="shared" si="5"/>
        <v>4</v>
      </c>
    </row>
    <row r="173" spans="2:9" x14ac:dyDescent="0.25">
      <c r="B173">
        <v>13006</v>
      </c>
      <c r="C173" t="s">
        <v>577</v>
      </c>
      <c r="D173" t="s">
        <v>579</v>
      </c>
      <c r="E173" t="str">
        <f t="shared" si="4"/>
        <v>BOLÍVAR - ACHÍ</v>
      </c>
      <c r="F173">
        <v>24673</v>
      </c>
      <c r="G173">
        <v>1.54</v>
      </c>
      <c r="H173">
        <v>0.94710000000000005</v>
      </c>
      <c r="I173">
        <f t="shared" si="5"/>
        <v>1</v>
      </c>
    </row>
    <row r="174" spans="2:9" x14ac:dyDescent="0.25">
      <c r="B174">
        <v>13030</v>
      </c>
      <c r="C174" t="s">
        <v>577</v>
      </c>
      <c r="D174" t="s">
        <v>580</v>
      </c>
      <c r="E174" t="str">
        <f t="shared" si="4"/>
        <v>BOLÍVAR - ALTOS DEL ROSARIO</v>
      </c>
      <c r="F174">
        <v>14763</v>
      </c>
      <c r="G174">
        <v>2.12</v>
      </c>
      <c r="H174">
        <v>1.3038000000000001</v>
      </c>
      <c r="I174">
        <f t="shared" si="5"/>
        <v>1</v>
      </c>
    </row>
    <row r="175" spans="2:9" x14ac:dyDescent="0.25">
      <c r="B175">
        <v>13042</v>
      </c>
      <c r="C175" t="s">
        <v>577</v>
      </c>
      <c r="D175" t="s">
        <v>581</v>
      </c>
      <c r="E175" t="str">
        <f t="shared" si="4"/>
        <v>BOLÍVAR - ARENAL</v>
      </c>
      <c r="F175">
        <v>20625</v>
      </c>
      <c r="G175">
        <v>5.2</v>
      </c>
      <c r="H175">
        <v>3.198</v>
      </c>
      <c r="I175">
        <f t="shared" si="5"/>
        <v>1</v>
      </c>
    </row>
    <row r="176" spans="2:9" x14ac:dyDescent="0.25">
      <c r="B176">
        <v>13052</v>
      </c>
      <c r="C176" t="s">
        <v>577</v>
      </c>
      <c r="D176" t="s">
        <v>582</v>
      </c>
      <c r="E176" t="str">
        <f t="shared" si="4"/>
        <v>BOLÍVAR - ARJONA</v>
      </c>
      <c r="F176">
        <v>78070</v>
      </c>
      <c r="G176">
        <v>25.95</v>
      </c>
      <c r="H176">
        <v>15.959249999999999</v>
      </c>
      <c r="I176">
        <f t="shared" si="5"/>
        <v>2</v>
      </c>
    </row>
    <row r="177" spans="2:9" x14ac:dyDescent="0.25">
      <c r="B177">
        <v>13062</v>
      </c>
      <c r="C177" t="s">
        <v>577</v>
      </c>
      <c r="D177" t="s">
        <v>583</v>
      </c>
      <c r="E177" t="str">
        <f t="shared" si="4"/>
        <v>BOLÍVAR - ARROYOHONDO</v>
      </c>
      <c r="F177">
        <v>10445</v>
      </c>
      <c r="G177">
        <v>2.19</v>
      </c>
      <c r="H177">
        <v>1.3468499999999999</v>
      </c>
      <c r="I177">
        <f t="shared" si="5"/>
        <v>1</v>
      </c>
    </row>
    <row r="178" spans="2:9" x14ac:dyDescent="0.25">
      <c r="B178">
        <v>13074</v>
      </c>
      <c r="C178" t="s">
        <v>577</v>
      </c>
      <c r="D178" t="s">
        <v>584</v>
      </c>
      <c r="E178" t="str">
        <f t="shared" si="4"/>
        <v>BOLÍVAR - BARRANCO DE LOBA</v>
      </c>
      <c r="F178">
        <v>19100</v>
      </c>
      <c r="G178">
        <v>2.39</v>
      </c>
      <c r="H178">
        <v>1.4698500000000001</v>
      </c>
      <c r="I178">
        <f t="shared" si="5"/>
        <v>1</v>
      </c>
    </row>
    <row r="179" spans="2:9" x14ac:dyDescent="0.25">
      <c r="B179">
        <v>13140</v>
      </c>
      <c r="C179" t="s">
        <v>577</v>
      </c>
      <c r="D179" t="s">
        <v>585</v>
      </c>
      <c r="E179" t="str">
        <f t="shared" si="4"/>
        <v>BOLÍVAR - CALAMAR</v>
      </c>
      <c r="F179">
        <v>24573</v>
      </c>
      <c r="G179">
        <v>9.85</v>
      </c>
      <c r="H179">
        <v>6.0577499999999995</v>
      </c>
      <c r="I179">
        <f t="shared" si="5"/>
        <v>1</v>
      </c>
    </row>
    <row r="180" spans="2:9" x14ac:dyDescent="0.25">
      <c r="B180">
        <v>13160</v>
      </c>
      <c r="C180" t="s">
        <v>577</v>
      </c>
      <c r="D180" t="s">
        <v>586</v>
      </c>
      <c r="E180" t="str">
        <f t="shared" si="4"/>
        <v>BOLÍVAR - CANTAGALLO</v>
      </c>
      <c r="F180">
        <v>9888</v>
      </c>
      <c r="G180">
        <v>1.17</v>
      </c>
      <c r="H180">
        <v>0.71954999999999991</v>
      </c>
      <c r="I180">
        <f t="shared" si="5"/>
        <v>1</v>
      </c>
    </row>
    <row r="181" spans="2:9" x14ac:dyDescent="0.25">
      <c r="B181">
        <v>13188</v>
      </c>
      <c r="C181" t="s">
        <v>577</v>
      </c>
      <c r="D181" t="s">
        <v>587</v>
      </c>
      <c r="E181" t="str">
        <f t="shared" si="4"/>
        <v>BOLÍVAR - CICUCO</v>
      </c>
      <c r="F181">
        <v>11147</v>
      </c>
      <c r="G181">
        <v>5.8</v>
      </c>
      <c r="H181">
        <v>3.5669999999999997</v>
      </c>
      <c r="I181">
        <f t="shared" si="5"/>
        <v>1</v>
      </c>
    </row>
    <row r="182" spans="2:9" x14ac:dyDescent="0.25">
      <c r="B182">
        <v>13212</v>
      </c>
      <c r="C182" t="s">
        <v>577</v>
      </c>
      <c r="D182" t="s">
        <v>588</v>
      </c>
      <c r="E182" t="str">
        <f t="shared" si="4"/>
        <v>BOLÍVAR - CÓRDOBA</v>
      </c>
      <c r="F182">
        <v>12266</v>
      </c>
      <c r="G182">
        <v>2.2200000000000002</v>
      </c>
      <c r="H182">
        <v>1.3653000000000002</v>
      </c>
      <c r="I182">
        <f t="shared" si="5"/>
        <v>1</v>
      </c>
    </row>
    <row r="183" spans="2:9" x14ac:dyDescent="0.25">
      <c r="B183">
        <v>13222</v>
      </c>
      <c r="C183" t="s">
        <v>577</v>
      </c>
      <c r="D183" t="s">
        <v>589</v>
      </c>
      <c r="E183" t="str">
        <f t="shared" si="4"/>
        <v>BOLÍVAR - CLEMENCIA</v>
      </c>
      <c r="F183">
        <v>12963</v>
      </c>
      <c r="G183">
        <v>2.52</v>
      </c>
      <c r="H183">
        <v>1.5498000000000001</v>
      </c>
      <c r="I183">
        <f t="shared" si="5"/>
        <v>1</v>
      </c>
    </row>
    <row r="184" spans="2:9" x14ac:dyDescent="0.25">
      <c r="B184">
        <v>13244</v>
      </c>
      <c r="C184" t="s">
        <v>577</v>
      </c>
      <c r="D184" t="s">
        <v>590</v>
      </c>
      <c r="E184" t="str">
        <f t="shared" si="4"/>
        <v>BOLÍVAR - EL CARMEN DE BOLÍVAR</v>
      </c>
      <c r="F184">
        <v>78729</v>
      </c>
      <c r="G184">
        <v>27.01</v>
      </c>
      <c r="H184">
        <v>16.611150000000002</v>
      </c>
      <c r="I184">
        <f t="shared" si="5"/>
        <v>2</v>
      </c>
    </row>
    <row r="185" spans="2:9" x14ac:dyDescent="0.25">
      <c r="B185">
        <v>13248</v>
      </c>
      <c r="C185" t="s">
        <v>577</v>
      </c>
      <c r="D185" t="s">
        <v>591</v>
      </c>
      <c r="E185" t="str">
        <f t="shared" si="4"/>
        <v>BOLÍVAR - EL GUAMO</v>
      </c>
      <c r="F185">
        <v>7762</v>
      </c>
      <c r="G185">
        <v>1.97</v>
      </c>
      <c r="H185">
        <v>1.2115499999999999</v>
      </c>
      <c r="I185">
        <f t="shared" si="5"/>
        <v>1</v>
      </c>
    </row>
    <row r="186" spans="2:9" x14ac:dyDescent="0.25">
      <c r="B186">
        <v>13268</v>
      </c>
      <c r="C186" t="s">
        <v>577</v>
      </c>
      <c r="D186" t="s">
        <v>592</v>
      </c>
      <c r="E186" t="str">
        <f t="shared" si="4"/>
        <v>BOLÍVAR - EL PEÑÓN</v>
      </c>
      <c r="F186">
        <v>10328</v>
      </c>
      <c r="G186">
        <v>2.06</v>
      </c>
      <c r="H186">
        <v>1.2668999999999999</v>
      </c>
      <c r="I186">
        <f t="shared" si="5"/>
        <v>1</v>
      </c>
    </row>
    <row r="187" spans="2:9" x14ac:dyDescent="0.25">
      <c r="B187">
        <v>13300</v>
      </c>
      <c r="C187" t="s">
        <v>577</v>
      </c>
      <c r="D187" t="s">
        <v>593</v>
      </c>
      <c r="E187" t="str">
        <f t="shared" si="4"/>
        <v>BOLÍVAR - HATILLO DE LOBA</v>
      </c>
      <c r="F187">
        <v>12270</v>
      </c>
      <c r="G187">
        <v>1.93</v>
      </c>
      <c r="H187">
        <v>1.1869499999999999</v>
      </c>
      <c r="I187">
        <f t="shared" si="5"/>
        <v>1</v>
      </c>
    </row>
    <row r="188" spans="2:9" x14ac:dyDescent="0.25">
      <c r="B188">
        <v>13430</v>
      </c>
      <c r="C188" t="s">
        <v>577</v>
      </c>
      <c r="D188" t="s">
        <v>594</v>
      </c>
      <c r="E188" t="str">
        <f t="shared" si="4"/>
        <v>BOLÍVAR - MAGANGUÉ</v>
      </c>
      <c r="F188">
        <v>123982</v>
      </c>
      <c r="G188">
        <v>40.75</v>
      </c>
      <c r="H188">
        <v>25.061250000000001</v>
      </c>
      <c r="I188">
        <f t="shared" si="5"/>
        <v>2</v>
      </c>
    </row>
    <row r="189" spans="2:9" x14ac:dyDescent="0.25">
      <c r="B189">
        <v>13433</v>
      </c>
      <c r="C189" t="s">
        <v>577</v>
      </c>
      <c r="D189" t="s">
        <v>595</v>
      </c>
      <c r="E189" t="str">
        <f t="shared" si="4"/>
        <v>BOLÍVAR - MAHATES</v>
      </c>
      <c r="F189">
        <v>27127</v>
      </c>
      <c r="G189">
        <v>3.21</v>
      </c>
      <c r="H189">
        <v>1.9741499999999998</v>
      </c>
      <c r="I189">
        <f t="shared" si="5"/>
        <v>1</v>
      </c>
    </row>
    <row r="190" spans="2:9" x14ac:dyDescent="0.25">
      <c r="B190">
        <v>13440</v>
      </c>
      <c r="C190" t="s">
        <v>577</v>
      </c>
      <c r="D190" t="s">
        <v>596</v>
      </c>
      <c r="E190" t="str">
        <f t="shared" si="4"/>
        <v>BOLÍVAR - MARGARITA</v>
      </c>
      <c r="F190">
        <v>10246</v>
      </c>
      <c r="G190">
        <v>0.4</v>
      </c>
      <c r="H190">
        <v>0.246</v>
      </c>
      <c r="I190">
        <f t="shared" si="5"/>
        <v>1</v>
      </c>
    </row>
    <row r="191" spans="2:9" x14ac:dyDescent="0.25">
      <c r="B191">
        <v>13442</v>
      </c>
      <c r="C191" t="s">
        <v>577</v>
      </c>
      <c r="D191" t="s">
        <v>597</v>
      </c>
      <c r="E191" t="str">
        <f t="shared" si="4"/>
        <v>BOLÍVAR - MARÍA LA BAJA</v>
      </c>
      <c r="F191">
        <v>49462</v>
      </c>
      <c r="G191">
        <v>6.41</v>
      </c>
      <c r="H191">
        <v>3.9421499999999998</v>
      </c>
      <c r="I191">
        <f t="shared" si="5"/>
        <v>1</v>
      </c>
    </row>
    <row r="192" spans="2:9" x14ac:dyDescent="0.25">
      <c r="B192">
        <v>13458</v>
      </c>
      <c r="C192" t="s">
        <v>577</v>
      </c>
      <c r="D192" t="s">
        <v>598</v>
      </c>
      <c r="E192" t="str">
        <f t="shared" si="4"/>
        <v>BOLÍVAR - MONTECRISTO</v>
      </c>
      <c r="F192">
        <v>23318</v>
      </c>
      <c r="G192">
        <v>5.5</v>
      </c>
      <c r="H192">
        <v>3.3824999999999998</v>
      </c>
      <c r="I192">
        <f t="shared" si="5"/>
        <v>1</v>
      </c>
    </row>
    <row r="193" spans="2:9" x14ac:dyDescent="0.25">
      <c r="B193">
        <v>13468</v>
      </c>
      <c r="C193" t="s">
        <v>577</v>
      </c>
      <c r="D193" t="s">
        <v>599</v>
      </c>
      <c r="E193" t="str">
        <f t="shared" si="4"/>
        <v>BOLÍVAR - SANTA CRUZ DE MOMPOX</v>
      </c>
      <c r="F193">
        <v>45417</v>
      </c>
      <c r="G193">
        <v>5.8</v>
      </c>
      <c r="H193">
        <v>3.5669999999999997</v>
      </c>
      <c r="I193">
        <f t="shared" si="5"/>
        <v>1</v>
      </c>
    </row>
    <row r="194" spans="2:9" x14ac:dyDescent="0.25">
      <c r="B194">
        <v>13473</v>
      </c>
      <c r="C194" t="s">
        <v>577</v>
      </c>
      <c r="D194" t="s">
        <v>600</v>
      </c>
      <c r="E194" t="str">
        <f t="shared" si="4"/>
        <v>BOLÍVAR - MORALES</v>
      </c>
      <c r="F194">
        <v>22487</v>
      </c>
      <c r="G194">
        <v>0.85</v>
      </c>
      <c r="H194">
        <v>0.52274999999999994</v>
      </c>
      <c r="I194">
        <f t="shared" si="5"/>
        <v>1</v>
      </c>
    </row>
    <row r="195" spans="2:9" x14ac:dyDescent="0.25">
      <c r="B195">
        <v>13490</v>
      </c>
      <c r="C195" t="s">
        <v>577</v>
      </c>
      <c r="D195" t="s">
        <v>601</v>
      </c>
      <c r="E195" t="str">
        <f t="shared" si="4"/>
        <v>BOLÍVAR - NOROSÍ</v>
      </c>
      <c r="F195">
        <v>5088</v>
      </c>
      <c r="G195">
        <v>1.1499999999999999</v>
      </c>
      <c r="H195">
        <v>0.70724999999999993</v>
      </c>
      <c r="I195">
        <f t="shared" si="5"/>
        <v>1</v>
      </c>
    </row>
    <row r="196" spans="2:9" x14ac:dyDescent="0.25">
      <c r="B196">
        <v>13549</v>
      </c>
      <c r="C196" t="s">
        <v>577</v>
      </c>
      <c r="D196" t="s">
        <v>602</v>
      </c>
      <c r="E196" t="str">
        <f t="shared" ref="E196:E259" si="6">C196&amp;" - "&amp;D196</f>
        <v>BOLÍVAR - PINILLOS</v>
      </c>
      <c r="F196">
        <v>25964</v>
      </c>
      <c r="G196">
        <v>6.57</v>
      </c>
      <c r="H196">
        <v>4.0405500000000005</v>
      </c>
      <c r="I196">
        <f t="shared" ref="I196:I259" si="7">IF(H196&lt;$P$3,$O$3,IF(H196&lt;$P$4,$O$4,IF(H196&lt;$P$5,$O$5,$O$6)))</f>
        <v>1</v>
      </c>
    </row>
    <row r="197" spans="2:9" x14ac:dyDescent="0.25">
      <c r="B197">
        <v>13580</v>
      </c>
      <c r="C197" t="s">
        <v>577</v>
      </c>
      <c r="D197" t="s">
        <v>603</v>
      </c>
      <c r="E197" t="str">
        <f t="shared" si="6"/>
        <v>BOLÍVAR - REGIDOR</v>
      </c>
      <c r="F197">
        <v>11306</v>
      </c>
      <c r="G197">
        <v>0.46</v>
      </c>
      <c r="H197">
        <v>0.28289999999999998</v>
      </c>
      <c r="I197">
        <f t="shared" si="7"/>
        <v>1</v>
      </c>
    </row>
    <row r="198" spans="2:9" x14ac:dyDescent="0.25">
      <c r="B198">
        <v>13600</v>
      </c>
      <c r="C198" t="s">
        <v>577</v>
      </c>
      <c r="D198" t="s">
        <v>604</v>
      </c>
      <c r="E198" t="str">
        <f t="shared" si="6"/>
        <v>BOLÍVAR - RÍO VIEJO</v>
      </c>
      <c r="F198">
        <v>19282</v>
      </c>
      <c r="G198">
        <v>0.25</v>
      </c>
      <c r="H198">
        <v>0.15375</v>
      </c>
      <c r="I198">
        <f t="shared" si="7"/>
        <v>1</v>
      </c>
    </row>
    <row r="199" spans="2:9" x14ac:dyDescent="0.25">
      <c r="B199">
        <v>13620</v>
      </c>
      <c r="C199" t="s">
        <v>577</v>
      </c>
      <c r="D199" t="s">
        <v>605</v>
      </c>
      <c r="E199" t="str">
        <f t="shared" si="6"/>
        <v>BOLÍVAR - SAN CRISTÓBAL</v>
      </c>
      <c r="F199">
        <v>6732</v>
      </c>
      <c r="G199">
        <v>2.25</v>
      </c>
      <c r="H199">
        <v>1.38375</v>
      </c>
      <c r="I199">
        <f t="shared" si="7"/>
        <v>1</v>
      </c>
    </row>
    <row r="200" spans="2:9" x14ac:dyDescent="0.25">
      <c r="B200">
        <v>13647</v>
      </c>
      <c r="C200" t="s">
        <v>577</v>
      </c>
      <c r="D200" t="s">
        <v>606</v>
      </c>
      <c r="E200" t="str">
        <f t="shared" si="6"/>
        <v>BOLÍVAR - SAN ESTANISLAO</v>
      </c>
      <c r="F200">
        <v>16670</v>
      </c>
      <c r="G200">
        <v>5.01</v>
      </c>
      <c r="H200">
        <v>3.0811499999999996</v>
      </c>
      <c r="I200">
        <f t="shared" si="7"/>
        <v>1</v>
      </c>
    </row>
    <row r="201" spans="2:9" x14ac:dyDescent="0.25">
      <c r="B201">
        <v>13650</v>
      </c>
      <c r="C201" t="s">
        <v>577</v>
      </c>
      <c r="D201" t="s">
        <v>607</v>
      </c>
      <c r="E201" t="str">
        <f t="shared" si="6"/>
        <v>BOLÍVAR - SAN FERNANDO</v>
      </c>
      <c r="F201">
        <v>14130</v>
      </c>
      <c r="G201">
        <v>3.37</v>
      </c>
      <c r="H201">
        <v>2.0725500000000001</v>
      </c>
      <c r="I201">
        <f t="shared" si="7"/>
        <v>1</v>
      </c>
    </row>
    <row r="202" spans="2:9" x14ac:dyDescent="0.25">
      <c r="B202">
        <v>13654</v>
      </c>
      <c r="C202" t="s">
        <v>577</v>
      </c>
      <c r="D202" t="s">
        <v>608</v>
      </c>
      <c r="E202" t="str">
        <f t="shared" si="6"/>
        <v>BOLÍVAR - SAN JACINTO</v>
      </c>
      <c r="F202">
        <v>21644</v>
      </c>
      <c r="G202">
        <v>16.829999999999998</v>
      </c>
      <c r="H202">
        <v>10.350449999999999</v>
      </c>
      <c r="I202">
        <f t="shared" si="7"/>
        <v>2</v>
      </c>
    </row>
    <row r="203" spans="2:9" x14ac:dyDescent="0.25">
      <c r="B203">
        <v>13655</v>
      </c>
      <c r="C203" t="s">
        <v>577</v>
      </c>
      <c r="D203" t="s">
        <v>609</v>
      </c>
      <c r="E203" t="str">
        <f t="shared" si="6"/>
        <v>BOLÍVAR - SAN JACINTO DEL CAUCA</v>
      </c>
      <c r="F203">
        <v>14665</v>
      </c>
      <c r="G203">
        <v>3.15</v>
      </c>
      <c r="H203">
        <v>1.9372499999999999</v>
      </c>
      <c r="I203">
        <f t="shared" si="7"/>
        <v>1</v>
      </c>
    </row>
    <row r="204" spans="2:9" x14ac:dyDescent="0.25">
      <c r="B204">
        <v>13657</v>
      </c>
      <c r="C204" t="s">
        <v>577</v>
      </c>
      <c r="D204" t="s">
        <v>610</v>
      </c>
      <c r="E204" t="str">
        <f t="shared" si="6"/>
        <v>BOLÍVAR - SAN JUAN NEPOMUCENO</v>
      </c>
      <c r="F204">
        <v>34012</v>
      </c>
      <c r="G204">
        <v>24.25</v>
      </c>
      <c r="H204">
        <v>14.91375</v>
      </c>
      <c r="I204">
        <f t="shared" si="7"/>
        <v>2</v>
      </c>
    </row>
    <row r="205" spans="2:9" x14ac:dyDescent="0.25">
      <c r="B205">
        <v>13667</v>
      </c>
      <c r="C205" t="s">
        <v>577</v>
      </c>
      <c r="D205" t="s">
        <v>611</v>
      </c>
      <c r="E205" t="str">
        <f t="shared" si="6"/>
        <v>BOLÍVAR - SAN MARTÍN DE LOBA</v>
      </c>
      <c r="F205">
        <v>18891</v>
      </c>
      <c r="G205">
        <v>2.25</v>
      </c>
      <c r="H205">
        <v>1.38375</v>
      </c>
      <c r="I205">
        <f t="shared" si="7"/>
        <v>1</v>
      </c>
    </row>
    <row r="206" spans="2:9" x14ac:dyDescent="0.25">
      <c r="B206">
        <v>13670</v>
      </c>
      <c r="C206" t="s">
        <v>577</v>
      </c>
      <c r="D206" t="s">
        <v>612</v>
      </c>
      <c r="E206" t="str">
        <f t="shared" si="6"/>
        <v>BOLÍVAR - SAN PABLO</v>
      </c>
      <c r="F206">
        <v>36341</v>
      </c>
      <c r="G206">
        <v>13.14</v>
      </c>
      <c r="H206">
        <v>8.0811000000000011</v>
      </c>
      <c r="I206">
        <f t="shared" si="7"/>
        <v>1</v>
      </c>
    </row>
    <row r="207" spans="2:9" x14ac:dyDescent="0.25">
      <c r="B207">
        <v>13673</v>
      </c>
      <c r="C207" t="s">
        <v>577</v>
      </c>
      <c r="D207" t="s">
        <v>613</v>
      </c>
      <c r="E207" t="str">
        <f t="shared" si="6"/>
        <v>BOLÍVAR - SANTA CATALINA</v>
      </c>
      <c r="F207">
        <v>13677</v>
      </c>
      <c r="G207">
        <v>6.31</v>
      </c>
      <c r="H207">
        <v>3.8806499999999997</v>
      </c>
      <c r="I207">
        <f t="shared" si="7"/>
        <v>1</v>
      </c>
    </row>
    <row r="208" spans="2:9" x14ac:dyDescent="0.25">
      <c r="B208">
        <v>13683</v>
      </c>
      <c r="C208" t="s">
        <v>577</v>
      </c>
      <c r="D208" t="s">
        <v>614</v>
      </c>
      <c r="E208" t="str">
        <f t="shared" si="6"/>
        <v>BOLÍVAR - SANTA ROSA</v>
      </c>
      <c r="F208">
        <v>24694</v>
      </c>
      <c r="G208">
        <v>10.029999999999999</v>
      </c>
      <c r="H208">
        <v>6.1684499999999991</v>
      </c>
      <c r="I208">
        <f t="shared" si="7"/>
        <v>1</v>
      </c>
    </row>
    <row r="209" spans="2:9" x14ac:dyDescent="0.25">
      <c r="B209">
        <v>13688</v>
      </c>
      <c r="C209" t="s">
        <v>577</v>
      </c>
      <c r="D209" t="s">
        <v>615</v>
      </c>
      <c r="E209" t="str">
        <f t="shared" si="6"/>
        <v>BOLÍVAR - SANTA ROSA DEL SUR</v>
      </c>
      <c r="F209">
        <v>46017</v>
      </c>
      <c r="G209">
        <v>6.45</v>
      </c>
      <c r="H209">
        <v>3.9667500000000002</v>
      </c>
      <c r="I209">
        <f t="shared" si="7"/>
        <v>1</v>
      </c>
    </row>
    <row r="210" spans="2:9" x14ac:dyDescent="0.25">
      <c r="B210">
        <v>13744</v>
      </c>
      <c r="C210" t="s">
        <v>577</v>
      </c>
      <c r="D210" t="s">
        <v>616</v>
      </c>
      <c r="E210" t="str">
        <f t="shared" si="6"/>
        <v>BOLÍVAR - SIMITÍ</v>
      </c>
      <c r="F210">
        <v>21620</v>
      </c>
      <c r="G210">
        <v>4.45</v>
      </c>
      <c r="H210">
        <v>2.7367500000000002</v>
      </c>
      <c r="I210">
        <f t="shared" si="7"/>
        <v>1</v>
      </c>
    </row>
    <row r="211" spans="2:9" x14ac:dyDescent="0.25">
      <c r="B211">
        <v>13760</v>
      </c>
      <c r="C211" t="s">
        <v>577</v>
      </c>
      <c r="D211" t="s">
        <v>617</v>
      </c>
      <c r="E211" t="str">
        <f t="shared" si="6"/>
        <v>BOLÍVAR - SOPLAVIENTO</v>
      </c>
      <c r="F211">
        <v>8508</v>
      </c>
      <c r="G211">
        <v>2.81</v>
      </c>
      <c r="H211">
        <v>1.7281500000000001</v>
      </c>
      <c r="I211">
        <f t="shared" si="7"/>
        <v>1</v>
      </c>
    </row>
    <row r="212" spans="2:9" x14ac:dyDescent="0.25">
      <c r="B212">
        <v>13780</v>
      </c>
      <c r="C212" t="s">
        <v>577</v>
      </c>
      <c r="D212" t="s">
        <v>618</v>
      </c>
      <c r="E212" t="str">
        <f t="shared" si="6"/>
        <v>BOLÍVAR - TALAIGUA NUEVO</v>
      </c>
      <c r="F212">
        <v>11479</v>
      </c>
      <c r="G212">
        <v>2.72</v>
      </c>
      <c r="H212">
        <v>1.6728000000000001</v>
      </c>
      <c r="I212">
        <f t="shared" si="7"/>
        <v>1</v>
      </c>
    </row>
    <row r="213" spans="2:9" x14ac:dyDescent="0.25">
      <c r="B213">
        <v>13810</v>
      </c>
      <c r="C213" t="s">
        <v>577</v>
      </c>
      <c r="D213" t="s">
        <v>619</v>
      </c>
      <c r="E213" t="str">
        <f t="shared" si="6"/>
        <v>BOLÍVAR - TIQUISIO</v>
      </c>
      <c r="F213">
        <v>23859</v>
      </c>
      <c r="G213">
        <v>9.2200000000000006</v>
      </c>
      <c r="H213">
        <v>5.6703000000000001</v>
      </c>
      <c r="I213">
        <f t="shared" si="7"/>
        <v>1</v>
      </c>
    </row>
    <row r="214" spans="2:9" x14ac:dyDescent="0.25">
      <c r="B214">
        <v>13836</v>
      </c>
      <c r="C214" t="s">
        <v>577</v>
      </c>
      <c r="D214" t="s">
        <v>620</v>
      </c>
      <c r="E214" t="str">
        <f t="shared" si="6"/>
        <v>BOLÍVAR - TURBACO</v>
      </c>
      <c r="F214">
        <v>76218</v>
      </c>
      <c r="G214">
        <v>64.349999999999994</v>
      </c>
      <c r="H214">
        <v>39.575249999999997</v>
      </c>
      <c r="I214">
        <f t="shared" si="7"/>
        <v>2</v>
      </c>
    </row>
    <row r="215" spans="2:9" x14ac:dyDescent="0.25">
      <c r="B215">
        <v>13838</v>
      </c>
      <c r="C215" t="s">
        <v>577</v>
      </c>
      <c r="D215" t="s">
        <v>621</v>
      </c>
      <c r="E215" t="str">
        <f t="shared" si="6"/>
        <v>BOLÍVAR - TURBANÁ</v>
      </c>
      <c r="F215">
        <v>15505</v>
      </c>
      <c r="G215">
        <v>8.5500000000000007</v>
      </c>
      <c r="H215">
        <v>5.2582500000000003</v>
      </c>
      <c r="I215">
        <f t="shared" si="7"/>
        <v>1</v>
      </c>
    </row>
    <row r="216" spans="2:9" x14ac:dyDescent="0.25">
      <c r="B216">
        <v>13873</v>
      </c>
      <c r="C216" t="s">
        <v>577</v>
      </c>
      <c r="D216" t="s">
        <v>622</v>
      </c>
      <c r="E216" t="str">
        <f t="shared" si="6"/>
        <v>BOLÍVAR - VILLANUEVA</v>
      </c>
      <c r="F216">
        <v>20624</v>
      </c>
      <c r="G216">
        <v>6.99</v>
      </c>
      <c r="H216">
        <v>4.2988499999999998</v>
      </c>
      <c r="I216">
        <f t="shared" si="7"/>
        <v>1</v>
      </c>
    </row>
    <row r="217" spans="2:9" x14ac:dyDescent="0.25">
      <c r="B217">
        <v>13894</v>
      </c>
      <c r="C217" t="s">
        <v>577</v>
      </c>
      <c r="D217" t="s">
        <v>623</v>
      </c>
      <c r="E217" t="str">
        <f t="shared" si="6"/>
        <v>BOLÍVAR - ZAMBRANO</v>
      </c>
      <c r="F217">
        <v>11923</v>
      </c>
      <c r="G217">
        <v>5.84</v>
      </c>
      <c r="H217">
        <v>3.5915999999999997</v>
      </c>
      <c r="I217">
        <f t="shared" si="7"/>
        <v>1</v>
      </c>
    </row>
    <row r="218" spans="2:9" x14ac:dyDescent="0.25">
      <c r="B218">
        <v>15001</v>
      </c>
      <c r="C218" t="s">
        <v>624</v>
      </c>
      <c r="D218" t="s">
        <v>625</v>
      </c>
      <c r="E218" t="str">
        <f t="shared" si="6"/>
        <v>BOYACÁ - TUNJA</v>
      </c>
      <c r="F218">
        <v>202996</v>
      </c>
      <c r="G218">
        <v>140.63999999999999</v>
      </c>
      <c r="H218">
        <v>86.493599999999986</v>
      </c>
      <c r="I218">
        <f t="shared" si="7"/>
        <v>3</v>
      </c>
    </row>
    <row r="219" spans="2:9" x14ac:dyDescent="0.25">
      <c r="B219">
        <v>15022</v>
      </c>
      <c r="C219" t="s">
        <v>624</v>
      </c>
      <c r="D219" t="s">
        <v>626</v>
      </c>
      <c r="E219" t="str">
        <f t="shared" si="6"/>
        <v>BOYACÁ - ALMEIDA</v>
      </c>
      <c r="F219">
        <v>1558</v>
      </c>
      <c r="G219">
        <v>0.06</v>
      </c>
      <c r="H219">
        <v>3.6899999999999995E-2</v>
      </c>
      <c r="I219">
        <f t="shared" si="7"/>
        <v>1</v>
      </c>
    </row>
    <row r="220" spans="2:9" x14ac:dyDescent="0.25">
      <c r="B220">
        <v>15047</v>
      </c>
      <c r="C220" t="s">
        <v>624</v>
      </c>
      <c r="D220" t="s">
        <v>627</v>
      </c>
      <c r="E220" t="str">
        <f t="shared" si="6"/>
        <v>BOYACÁ - AQUITANIA</v>
      </c>
      <c r="F220">
        <v>14469</v>
      </c>
      <c r="G220">
        <v>3.36</v>
      </c>
      <c r="H220">
        <v>2.0663999999999998</v>
      </c>
      <c r="I220">
        <f t="shared" si="7"/>
        <v>1</v>
      </c>
    </row>
    <row r="221" spans="2:9" x14ac:dyDescent="0.25">
      <c r="B221">
        <v>15051</v>
      </c>
      <c r="C221" t="s">
        <v>624</v>
      </c>
      <c r="D221" t="s">
        <v>628</v>
      </c>
      <c r="E221" t="str">
        <f t="shared" si="6"/>
        <v>BOYACÁ - ARCABUCO</v>
      </c>
      <c r="F221">
        <v>5249</v>
      </c>
      <c r="G221">
        <v>0.78</v>
      </c>
      <c r="H221">
        <v>0.47970000000000002</v>
      </c>
      <c r="I221">
        <f t="shared" si="7"/>
        <v>1</v>
      </c>
    </row>
    <row r="222" spans="2:9" x14ac:dyDescent="0.25">
      <c r="B222">
        <v>15087</v>
      </c>
      <c r="C222" t="s">
        <v>624</v>
      </c>
      <c r="D222" t="s">
        <v>629</v>
      </c>
      <c r="E222" t="str">
        <f t="shared" si="6"/>
        <v>BOYACÁ - BELÉN</v>
      </c>
      <c r="F222">
        <v>6820</v>
      </c>
      <c r="G222">
        <v>1.46</v>
      </c>
      <c r="H222">
        <v>0.89789999999999992</v>
      </c>
      <c r="I222">
        <f t="shared" si="7"/>
        <v>1</v>
      </c>
    </row>
    <row r="223" spans="2:9" x14ac:dyDescent="0.25">
      <c r="B223">
        <v>15090</v>
      </c>
      <c r="C223" t="s">
        <v>624</v>
      </c>
      <c r="D223" t="s">
        <v>630</v>
      </c>
      <c r="E223" t="str">
        <f t="shared" si="6"/>
        <v>BOYACÁ - BERBEO</v>
      </c>
      <c r="F223">
        <v>1941</v>
      </c>
      <c r="G223">
        <v>0.09</v>
      </c>
      <c r="H223">
        <v>5.5349999999999996E-2</v>
      </c>
      <c r="I223">
        <f t="shared" si="7"/>
        <v>1</v>
      </c>
    </row>
    <row r="224" spans="2:9" x14ac:dyDescent="0.25">
      <c r="B224">
        <v>15092</v>
      </c>
      <c r="C224" t="s">
        <v>624</v>
      </c>
      <c r="D224" t="s">
        <v>631</v>
      </c>
      <c r="E224" t="str">
        <f t="shared" si="6"/>
        <v>BOYACÁ - BETÉITIVA</v>
      </c>
      <c r="F224">
        <v>1887</v>
      </c>
      <c r="G224">
        <v>0.1</v>
      </c>
      <c r="H224">
        <v>6.1499999999999999E-2</v>
      </c>
      <c r="I224">
        <f t="shared" si="7"/>
        <v>1</v>
      </c>
    </row>
    <row r="225" spans="2:9" x14ac:dyDescent="0.25">
      <c r="B225">
        <v>15097</v>
      </c>
      <c r="C225" t="s">
        <v>624</v>
      </c>
      <c r="D225" t="s">
        <v>632</v>
      </c>
      <c r="E225" t="str">
        <f t="shared" si="6"/>
        <v>BOYACÁ - BOAVITA</v>
      </c>
      <c r="F225">
        <v>6442</v>
      </c>
      <c r="G225">
        <v>0.57999999999999996</v>
      </c>
      <c r="H225">
        <v>0.35669999999999996</v>
      </c>
      <c r="I225">
        <f t="shared" si="7"/>
        <v>1</v>
      </c>
    </row>
    <row r="226" spans="2:9" x14ac:dyDescent="0.25">
      <c r="B226">
        <v>15104</v>
      </c>
      <c r="C226" t="s">
        <v>624</v>
      </c>
      <c r="D226" t="s">
        <v>624</v>
      </c>
      <c r="E226" t="str">
        <f t="shared" si="6"/>
        <v>BOYACÁ - BOYACÁ</v>
      </c>
      <c r="F226">
        <v>4231</v>
      </c>
      <c r="G226">
        <v>0.24</v>
      </c>
      <c r="H226">
        <v>0.14759999999999998</v>
      </c>
      <c r="I226">
        <f t="shared" si="7"/>
        <v>1</v>
      </c>
    </row>
    <row r="227" spans="2:9" x14ac:dyDescent="0.25">
      <c r="B227">
        <v>15106</v>
      </c>
      <c r="C227" t="s">
        <v>624</v>
      </c>
      <c r="D227" t="s">
        <v>440</v>
      </c>
      <c r="E227" t="str">
        <f t="shared" si="6"/>
        <v>BOYACÁ - BRICEÑO</v>
      </c>
      <c r="F227">
        <v>2516</v>
      </c>
      <c r="G227">
        <v>0.18</v>
      </c>
      <c r="H227">
        <v>0.11069999999999999</v>
      </c>
      <c r="I227">
        <f t="shared" si="7"/>
        <v>1</v>
      </c>
    </row>
    <row r="228" spans="2:9" x14ac:dyDescent="0.25">
      <c r="B228">
        <v>15109</v>
      </c>
      <c r="C228" t="s">
        <v>624</v>
      </c>
      <c r="D228" t="s">
        <v>633</v>
      </c>
      <c r="E228" t="str">
        <f t="shared" si="6"/>
        <v>BOYACÁ - BUENAVISTA</v>
      </c>
      <c r="F228">
        <v>5738</v>
      </c>
      <c r="G228">
        <v>0.33</v>
      </c>
      <c r="H228">
        <v>0.20295000000000002</v>
      </c>
      <c r="I228">
        <f t="shared" si="7"/>
        <v>1</v>
      </c>
    </row>
    <row r="229" spans="2:9" x14ac:dyDescent="0.25">
      <c r="B229">
        <v>15114</v>
      </c>
      <c r="C229" t="s">
        <v>624</v>
      </c>
      <c r="D229" t="s">
        <v>634</v>
      </c>
      <c r="E229" t="str">
        <f t="shared" si="6"/>
        <v>BOYACÁ - BUSBANZÁ</v>
      </c>
      <c r="F229">
        <v>1288</v>
      </c>
      <c r="G229">
        <v>0.03</v>
      </c>
      <c r="H229">
        <v>1.8449999999999998E-2</v>
      </c>
      <c r="I229">
        <f t="shared" si="7"/>
        <v>1</v>
      </c>
    </row>
    <row r="230" spans="2:9" x14ac:dyDescent="0.25">
      <c r="B230">
        <v>15131</v>
      </c>
      <c r="C230" t="s">
        <v>624</v>
      </c>
      <c r="D230" t="s">
        <v>444</v>
      </c>
      <c r="E230" t="str">
        <f t="shared" si="6"/>
        <v>BOYACÁ - CALDAS</v>
      </c>
      <c r="F230">
        <v>3471</v>
      </c>
      <c r="G230">
        <v>0.11</v>
      </c>
      <c r="H230">
        <v>6.7650000000000002E-2</v>
      </c>
      <c r="I230">
        <f t="shared" si="7"/>
        <v>1</v>
      </c>
    </row>
    <row r="231" spans="2:9" x14ac:dyDescent="0.25">
      <c r="B231">
        <v>15135</v>
      </c>
      <c r="C231" t="s">
        <v>624</v>
      </c>
      <c r="D231" t="s">
        <v>635</v>
      </c>
      <c r="E231" t="str">
        <f t="shared" si="6"/>
        <v>BOYACÁ - CAMPOHERMOSO</v>
      </c>
      <c r="F231">
        <v>3735</v>
      </c>
      <c r="G231">
        <v>0.27</v>
      </c>
      <c r="H231">
        <v>0.16605</v>
      </c>
      <c r="I231">
        <f t="shared" si="7"/>
        <v>1</v>
      </c>
    </row>
    <row r="232" spans="2:9" x14ac:dyDescent="0.25">
      <c r="B232">
        <v>15162</v>
      </c>
      <c r="C232" t="s">
        <v>624</v>
      </c>
      <c r="D232" t="s">
        <v>636</v>
      </c>
      <c r="E232" t="str">
        <f t="shared" si="6"/>
        <v>BOYACÁ - CERINZA</v>
      </c>
      <c r="F232">
        <v>3544</v>
      </c>
      <c r="G232">
        <v>0.63</v>
      </c>
      <c r="H232">
        <v>0.38745000000000002</v>
      </c>
      <c r="I232">
        <f t="shared" si="7"/>
        <v>1</v>
      </c>
    </row>
    <row r="233" spans="2:9" x14ac:dyDescent="0.25">
      <c r="B233">
        <v>15172</v>
      </c>
      <c r="C233" t="s">
        <v>624</v>
      </c>
      <c r="D233" t="s">
        <v>637</v>
      </c>
      <c r="E233" t="str">
        <f t="shared" si="6"/>
        <v>BOYACÁ - CHINAVITA</v>
      </c>
      <c r="F233">
        <v>3404</v>
      </c>
      <c r="G233">
        <v>0.35</v>
      </c>
      <c r="H233">
        <v>0.21525</v>
      </c>
      <c r="I233">
        <f t="shared" si="7"/>
        <v>1</v>
      </c>
    </row>
    <row r="234" spans="2:9" x14ac:dyDescent="0.25">
      <c r="B234">
        <v>15176</v>
      </c>
      <c r="C234" t="s">
        <v>624</v>
      </c>
      <c r="D234" t="s">
        <v>638</v>
      </c>
      <c r="E234" t="str">
        <f t="shared" si="6"/>
        <v>BOYACÁ - CHIQUINQUIRÁ</v>
      </c>
      <c r="F234">
        <v>69121</v>
      </c>
      <c r="G234">
        <v>36.76</v>
      </c>
      <c r="H234">
        <v>22.607399999999998</v>
      </c>
      <c r="I234">
        <f t="shared" si="7"/>
        <v>2</v>
      </c>
    </row>
    <row r="235" spans="2:9" x14ac:dyDescent="0.25">
      <c r="B235">
        <v>15180</v>
      </c>
      <c r="C235" t="s">
        <v>624</v>
      </c>
      <c r="D235" t="s">
        <v>639</v>
      </c>
      <c r="E235" t="str">
        <f t="shared" si="6"/>
        <v>BOYACÁ - CHISCAS</v>
      </c>
      <c r="F235">
        <v>3906</v>
      </c>
      <c r="G235">
        <v>0.26</v>
      </c>
      <c r="H235">
        <v>0.15990000000000001</v>
      </c>
      <c r="I235">
        <f t="shared" si="7"/>
        <v>1</v>
      </c>
    </row>
    <row r="236" spans="2:9" x14ac:dyDescent="0.25">
      <c r="B236">
        <v>15183</v>
      </c>
      <c r="C236" t="s">
        <v>624</v>
      </c>
      <c r="D236" t="s">
        <v>640</v>
      </c>
      <c r="E236" t="str">
        <f t="shared" si="6"/>
        <v>BOYACÁ - CHITA</v>
      </c>
      <c r="F236">
        <v>9053</v>
      </c>
      <c r="G236">
        <v>0.71</v>
      </c>
      <c r="H236">
        <v>0.43664999999999998</v>
      </c>
      <c r="I236">
        <f t="shared" si="7"/>
        <v>1</v>
      </c>
    </row>
    <row r="237" spans="2:9" x14ac:dyDescent="0.25">
      <c r="B237">
        <v>15185</v>
      </c>
      <c r="C237" t="s">
        <v>624</v>
      </c>
      <c r="D237" t="s">
        <v>641</v>
      </c>
      <c r="E237" t="str">
        <f t="shared" si="6"/>
        <v>BOYACÁ - CHITARAQUE</v>
      </c>
      <c r="F237">
        <v>5298</v>
      </c>
      <c r="G237">
        <v>0.46</v>
      </c>
      <c r="H237">
        <v>0.28289999999999998</v>
      </c>
      <c r="I237">
        <f t="shared" si="7"/>
        <v>1</v>
      </c>
    </row>
    <row r="238" spans="2:9" x14ac:dyDescent="0.25">
      <c r="B238">
        <v>15187</v>
      </c>
      <c r="C238" t="s">
        <v>624</v>
      </c>
      <c r="D238" t="s">
        <v>642</v>
      </c>
      <c r="E238" t="str">
        <f t="shared" si="6"/>
        <v>BOYACÁ - CHIVATÁ</v>
      </c>
      <c r="F238">
        <v>6717</v>
      </c>
      <c r="G238">
        <v>1.81</v>
      </c>
      <c r="H238">
        <v>1.1131500000000001</v>
      </c>
      <c r="I238">
        <f t="shared" si="7"/>
        <v>1</v>
      </c>
    </row>
    <row r="239" spans="2:9" x14ac:dyDescent="0.25">
      <c r="B239">
        <v>15189</v>
      </c>
      <c r="C239" t="s">
        <v>624</v>
      </c>
      <c r="D239" t="s">
        <v>643</v>
      </c>
      <c r="E239" t="str">
        <f t="shared" si="6"/>
        <v>BOYACÁ - CIÉNEGA</v>
      </c>
      <c r="F239">
        <v>4498</v>
      </c>
      <c r="G239">
        <v>0.44</v>
      </c>
      <c r="H239">
        <v>0.27060000000000001</v>
      </c>
      <c r="I239">
        <f t="shared" si="7"/>
        <v>1</v>
      </c>
    </row>
    <row r="240" spans="2:9" x14ac:dyDescent="0.25">
      <c r="B240">
        <v>15204</v>
      </c>
      <c r="C240" t="s">
        <v>624</v>
      </c>
      <c r="D240" t="s">
        <v>644</v>
      </c>
      <c r="E240" t="str">
        <f t="shared" si="6"/>
        <v>BOYACÁ - CÓMBITA</v>
      </c>
      <c r="F240">
        <v>15350</v>
      </c>
      <c r="G240">
        <v>0.81</v>
      </c>
      <c r="H240">
        <v>0.49815000000000004</v>
      </c>
      <c r="I240">
        <f t="shared" si="7"/>
        <v>1</v>
      </c>
    </row>
    <row r="241" spans="2:9" x14ac:dyDescent="0.25">
      <c r="B241">
        <v>15212</v>
      </c>
      <c r="C241" t="s">
        <v>624</v>
      </c>
      <c r="D241" t="s">
        <v>645</v>
      </c>
      <c r="E241" t="str">
        <f t="shared" si="6"/>
        <v>BOYACÁ - COPER</v>
      </c>
      <c r="F241">
        <v>3455</v>
      </c>
      <c r="G241">
        <v>0.17</v>
      </c>
      <c r="H241">
        <v>0.10455</v>
      </c>
      <c r="I241">
        <f t="shared" si="7"/>
        <v>1</v>
      </c>
    </row>
    <row r="242" spans="2:9" x14ac:dyDescent="0.25">
      <c r="B242">
        <v>15215</v>
      </c>
      <c r="C242" t="s">
        <v>624</v>
      </c>
      <c r="D242" t="s">
        <v>646</v>
      </c>
      <c r="E242" t="str">
        <f t="shared" si="6"/>
        <v>BOYACÁ - CORRALES</v>
      </c>
      <c r="F242">
        <v>2180</v>
      </c>
      <c r="G242">
        <v>0.28999999999999998</v>
      </c>
      <c r="H242">
        <v>0.17834999999999998</v>
      </c>
      <c r="I242">
        <f t="shared" si="7"/>
        <v>1</v>
      </c>
    </row>
    <row r="243" spans="2:9" x14ac:dyDescent="0.25">
      <c r="B243">
        <v>15218</v>
      </c>
      <c r="C243" t="s">
        <v>624</v>
      </c>
      <c r="D243" t="s">
        <v>647</v>
      </c>
      <c r="E243" t="str">
        <f t="shared" si="6"/>
        <v>BOYACÁ - COVARACHÍA</v>
      </c>
      <c r="F243">
        <v>2702</v>
      </c>
      <c r="G243">
        <v>0.44</v>
      </c>
      <c r="H243">
        <v>0.27060000000000001</v>
      </c>
      <c r="I243">
        <f t="shared" si="7"/>
        <v>1</v>
      </c>
    </row>
    <row r="244" spans="2:9" x14ac:dyDescent="0.25">
      <c r="B244">
        <v>15223</v>
      </c>
      <c r="C244" t="s">
        <v>624</v>
      </c>
      <c r="D244" t="s">
        <v>648</v>
      </c>
      <c r="E244" t="str">
        <f t="shared" si="6"/>
        <v>BOYACÁ - CUBARÁ</v>
      </c>
      <c r="F244">
        <v>6741</v>
      </c>
      <c r="G244">
        <v>0.63</v>
      </c>
      <c r="H244">
        <v>0.38745000000000002</v>
      </c>
      <c r="I244">
        <f t="shared" si="7"/>
        <v>1</v>
      </c>
    </row>
    <row r="245" spans="2:9" x14ac:dyDescent="0.25">
      <c r="B245">
        <v>15224</v>
      </c>
      <c r="C245" t="s">
        <v>624</v>
      </c>
      <c r="D245" t="s">
        <v>649</v>
      </c>
      <c r="E245" t="str">
        <f t="shared" si="6"/>
        <v>BOYACÁ - CUCAITA</v>
      </c>
      <c r="F245">
        <v>4709</v>
      </c>
      <c r="G245">
        <v>0.57999999999999996</v>
      </c>
      <c r="H245">
        <v>0.35669999999999996</v>
      </c>
      <c r="I245">
        <f t="shared" si="7"/>
        <v>1</v>
      </c>
    </row>
    <row r="246" spans="2:9" x14ac:dyDescent="0.25">
      <c r="B246">
        <v>15226</v>
      </c>
      <c r="C246" t="s">
        <v>624</v>
      </c>
      <c r="D246" t="s">
        <v>650</v>
      </c>
      <c r="E246" t="str">
        <f t="shared" si="6"/>
        <v>BOYACÁ - CUÍTIVA</v>
      </c>
      <c r="F246">
        <v>1846</v>
      </c>
      <c r="G246">
        <v>0.36</v>
      </c>
      <c r="H246">
        <v>0.22139999999999999</v>
      </c>
      <c r="I246">
        <f t="shared" si="7"/>
        <v>1</v>
      </c>
    </row>
    <row r="247" spans="2:9" x14ac:dyDescent="0.25">
      <c r="B247">
        <v>15232</v>
      </c>
      <c r="C247" t="s">
        <v>624</v>
      </c>
      <c r="D247" t="s">
        <v>651</v>
      </c>
      <c r="E247" t="str">
        <f t="shared" si="6"/>
        <v>BOYACÁ - CHÍQUIZA</v>
      </c>
      <c r="F247">
        <v>5256</v>
      </c>
      <c r="G247">
        <v>0.09</v>
      </c>
      <c r="H247">
        <v>5.5349999999999996E-2</v>
      </c>
      <c r="I247">
        <f t="shared" si="7"/>
        <v>1</v>
      </c>
    </row>
    <row r="248" spans="2:9" x14ac:dyDescent="0.25">
      <c r="B248">
        <v>15236</v>
      </c>
      <c r="C248" t="s">
        <v>624</v>
      </c>
      <c r="D248" t="s">
        <v>652</v>
      </c>
      <c r="E248" t="str">
        <f t="shared" si="6"/>
        <v>BOYACÁ - CHIVOR</v>
      </c>
      <c r="F248">
        <v>1646</v>
      </c>
      <c r="G248">
        <v>0.13</v>
      </c>
      <c r="H248">
        <v>7.9950000000000007E-2</v>
      </c>
      <c r="I248">
        <f t="shared" si="7"/>
        <v>1</v>
      </c>
    </row>
    <row r="249" spans="2:9" x14ac:dyDescent="0.25">
      <c r="B249">
        <v>15238</v>
      </c>
      <c r="C249" t="s">
        <v>624</v>
      </c>
      <c r="D249" t="s">
        <v>653</v>
      </c>
      <c r="E249" t="str">
        <f t="shared" si="6"/>
        <v>BOYACÁ - DUITAMA</v>
      </c>
      <c r="F249">
        <v>114413</v>
      </c>
      <c r="G249">
        <v>44.02</v>
      </c>
      <c r="H249">
        <v>27.072300000000002</v>
      </c>
      <c r="I249">
        <f t="shared" si="7"/>
        <v>2</v>
      </c>
    </row>
    <row r="250" spans="2:9" x14ac:dyDescent="0.25">
      <c r="B250">
        <v>15244</v>
      </c>
      <c r="C250" t="s">
        <v>624</v>
      </c>
      <c r="D250" t="s">
        <v>654</v>
      </c>
      <c r="E250" t="str">
        <f t="shared" si="6"/>
        <v>BOYACÁ - EL COCUY</v>
      </c>
      <c r="F250">
        <v>5085</v>
      </c>
      <c r="G250">
        <v>0.59</v>
      </c>
      <c r="H250">
        <v>0.36284999999999995</v>
      </c>
      <c r="I250">
        <f t="shared" si="7"/>
        <v>1</v>
      </c>
    </row>
    <row r="251" spans="2:9" x14ac:dyDescent="0.25">
      <c r="B251">
        <v>15248</v>
      </c>
      <c r="C251" t="s">
        <v>624</v>
      </c>
      <c r="D251" t="s">
        <v>655</v>
      </c>
      <c r="E251" t="str">
        <f t="shared" si="6"/>
        <v>BOYACÁ - EL ESPINO</v>
      </c>
      <c r="F251">
        <v>4226</v>
      </c>
      <c r="G251">
        <v>0.83</v>
      </c>
      <c r="H251">
        <v>0.51044999999999996</v>
      </c>
      <c r="I251">
        <f t="shared" si="7"/>
        <v>1</v>
      </c>
    </row>
    <row r="252" spans="2:9" x14ac:dyDescent="0.25">
      <c r="B252">
        <v>15272</v>
      </c>
      <c r="C252" t="s">
        <v>624</v>
      </c>
      <c r="D252" t="s">
        <v>656</v>
      </c>
      <c r="E252" t="str">
        <f t="shared" si="6"/>
        <v>BOYACÁ - FIRAVITOBA</v>
      </c>
      <c r="F252">
        <v>5732</v>
      </c>
      <c r="G252">
        <v>0.84</v>
      </c>
      <c r="H252">
        <v>0.51659999999999995</v>
      </c>
      <c r="I252">
        <f t="shared" si="7"/>
        <v>1</v>
      </c>
    </row>
    <row r="253" spans="2:9" x14ac:dyDescent="0.25">
      <c r="B253">
        <v>15276</v>
      </c>
      <c r="C253" t="s">
        <v>624</v>
      </c>
      <c r="D253" t="s">
        <v>657</v>
      </c>
      <c r="E253" t="str">
        <f t="shared" si="6"/>
        <v>BOYACÁ - FLORESTA</v>
      </c>
      <c r="F253">
        <v>4333</v>
      </c>
      <c r="G253">
        <v>0.67</v>
      </c>
      <c r="H253">
        <v>0.41205000000000003</v>
      </c>
      <c r="I253">
        <f t="shared" si="7"/>
        <v>1</v>
      </c>
    </row>
    <row r="254" spans="2:9" x14ac:dyDescent="0.25">
      <c r="B254">
        <v>15293</v>
      </c>
      <c r="C254" t="s">
        <v>624</v>
      </c>
      <c r="D254" t="s">
        <v>658</v>
      </c>
      <c r="E254" t="str">
        <f t="shared" si="6"/>
        <v>BOYACÁ - GACHANTIVÁ</v>
      </c>
      <c r="F254">
        <v>2497</v>
      </c>
      <c r="G254">
        <v>0.16</v>
      </c>
      <c r="H254">
        <v>9.8400000000000001E-2</v>
      </c>
      <c r="I254">
        <f t="shared" si="7"/>
        <v>1</v>
      </c>
    </row>
    <row r="255" spans="2:9" x14ac:dyDescent="0.25">
      <c r="B255">
        <v>15296</v>
      </c>
      <c r="C255" t="s">
        <v>624</v>
      </c>
      <c r="D255" t="s">
        <v>659</v>
      </c>
      <c r="E255" t="str">
        <f t="shared" si="6"/>
        <v>BOYACÁ - GÁMEZA</v>
      </c>
      <c r="F255">
        <v>4551</v>
      </c>
      <c r="G255">
        <v>0.34</v>
      </c>
      <c r="H255">
        <v>0.20910000000000001</v>
      </c>
      <c r="I255">
        <f t="shared" si="7"/>
        <v>1</v>
      </c>
    </row>
    <row r="256" spans="2:9" x14ac:dyDescent="0.25">
      <c r="B256">
        <v>15299</v>
      </c>
      <c r="C256" t="s">
        <v>624</v>
      </c>
      <c r="D256" t="s">
        <v>660</v>
      </c>
      <c r="E256" t="str">
        <f t="shared" si="6"/>
        <v>BOYACÁ - GARAGOA</v>
      </c>
      <c r="F256">
        <v>17079</v>
      </c>
      <c r="G256">
        <v>4.53</v>
      </c>
      <c r="H256">
        <v>2.7859500000000001</v>
      </c>
      <c r="I256">
        <f t="shared" si="7"/>
        <v>1</v>
      </c>
    </row>
    <row r="257" spans="2:9" x14ac:dyDescent="0.25">
      <c r="B257">
        <v>15317</v>
      </c>
      <c r="C257" t="s">
        <v>624</v>
      </c>
      <c r="D257" t="s">
        <v>661</v>
      </c>
      <c r="E257" t="str">
        <f t="shared" si="6"/>
        <v>BOYACÁ - GUACAMAYAS</v>
      </c>
      <c r="F257">
        <v>1544</v>
      </c>
      <c r="G257">
        <v>0.15</v>
      </c>
      <c r="H257">
        <v>9.2249999999999999E-2</v>
      </c>
      <c r="I257">
        <f t="shared" si="7"/>
        <v>1</v>
      </c>
    </row>
    <row r="258" spans="2:9" x14ac:dyDescent="0.25">
      <c r="B258">
        <v>15322</v>
      </c>
      <c r="C258" t="s">
        <v>624</v>
      </c>
      <c r="D258" t="s">
        <v>662</v>
      </c>
      <c r="E258" t="str">
        <f t="shared" si="6"/>
        <v>BOYACÁ - GUATEQUE</v>
      </c>
      <c r="F258">
        <v>9360</v>
      </c>
      <c r="G258">
        <v>4.97</v>
      </c>
      <c r="H258">
        <v>3.0565499999999997</v>
      </c>
      <c r="I258">
        <f t="shared" si="7"/>
        <v>1</v>
      </c>
    </row>
    <row r="259" spans="2:9" x14ac:dyDescent="0.25">
      <c r="B259">
        <v>15325</v>
      </c>
      <c r="C259" t="s">
        <v>624</v>
      </c>
      <c r="D259" t="s">
        <v>663</v>
      </c>
      <c r="E259" t="str">
        <f t="shared" si="6"/>
        <v>BOYACÁ - GUAYATÁ</v>
      </c>
      <c r="F259">
        <v>4660</v>
      </c>
      <c r="G259">
        <v>0.3</v>
      </c>
      <c r="H259">
        <v>0.1845</v>
      </c>
      <c r="I259">
        <f t="shared" si="7"/>
        <v>1</v>
      </c>
    </row>
    <row r="260" spans="2:9" x14ac:dyDescent="0.25">
      <c r="B260">
        <v>15332</v>
      </c>
      <c r="C260" t="s">
        <v>624</v>
      </c>
      <c r="D260" t="s">
        <v>664</v>
      </c>
      <c r="E260" t="str">
        <f t="shared" ref="E260:E323" si="8">C260&amp;" - "&amp;D260</f>
        <v>BOYACÁ - GÜICÁN DE LA SIERRA</v>
      </c>
      <c r="F260">
        <v>6506</v>
      </c>
      <c r="G260">
        <v>0.45</v>
      </c>
      <c r="H260">
        <v>0.27675</v>
      </c>
      <c r="I260">
        <f t="shared" ref="I260:I323" si="9">IF(H260&lt;$P$3,$O$3,IF(H260&lt;$P$4,$O$4,IF(H260&lt;$P$5,$O$5,$O$6)))</f>
        <v>1</v>
      </c>
    </row>
    <row r="261" spans="2:9" x14ac:dyDescent="0.25">
      <c r="B261">
        <v>15362</v>
      </c>
      <c r="C261" t="s">
        <v>624</v>
      </c>
      <c r="D261" t="s">
        <v>665</v>
      </c>
      <c r="E261" t="str">
        <f t="shared" si="8"/>
        <v>BOYACÁ - IZA</v>
      </c>
      <c r="F261">
        <v>2440</v>
      </c>
      <c r="G261">
        <v>0.51</v>
      </c>
      <c r="H261">
        <v>0.31364999999999998</v>
      </c>
      <c r="I261">
        <f t="shared" si="9"/>
        <v>1</v>
      </c>
    </row>
    <row r="262" spans="2:9" x14ac:dyDescent="0.25">
      <c r="B262">
        <v>15367</v>
      </c>
      <c r="C262" t="s">
        <v>624</v>
      </c>
      <c r="D262" t="s">
        <v>666</v>
      </c>
      <c r="E262" t="str">
        <f t="shared" si="8"/>
        <v>BOYACÁ - JENESANO</v>
      </c>
      <c r="F262">
        <v>7705</v>
      </c>
      <c r="G262">
        <v>0.98</v>
      </c>
      <c r="H262">
        <v>0.60270000000000001</v>
      </c>
      <c r="I262">
        <f t="shared" si="9"/>
        <v>1</v>
      </c>
    </row>
    <row r="263" spans="2:9" x14ac:dyDescent="0.25">
      <c r="B263">
        <v>15368</v>
      </c>
      <c r="C263" t="s">
        <v>624</v>
      </c>
      <c r="D263" t="s">
        <v>479</v>
      </c>
      <c r="E263" t="str">
        <f t="shared" si="8"/>
        <v>BOYACÁ - JERICÓ</v>
      </c>
      <c r="F263">
        <v>3751</v>
      </c>
      <c r="G263">
        <v>0.3</v>
      </c>
      <c r="H263">
        <v>0.1845</v>
      </c>
      <c r="I263">
        <f t="shared" si="9"/>
        <v>1</v>
      </c>
    </row>
    <row r="264" spans="2:9" x14ac:dyDescent="0.25">
      <c r="B264">
        <v>15377</v>
      </c>
      <c r="C264" t="s">
        <v>624</v>
      </c>
      <c r="D264" t="s">
        <v>667</v>
      </c>
      <c r="E264" t="str">
        <f t="shared" si="8"/>
        <v>BOYACÁ - LABRANZAGRANDE</v>
      </c>
      <c r="F264">
        <v>4967</v>
      </c>
      <c r="G264">
        <v>0.53</v>
      </c>
      <c r="H264">
        <v>0.32595000000000002</v>
      </c>
      <c r="I264">
        <f t="shared" si="9"/>
        <v>1</v>
      </c>
    </row>
    <row r="265" spans="2:9" x14ac:dyDescent="0.25">
      <c r="B265">
        <v>15380</v>
      </c>
      <c r="C265" t="s">
        <v>624</v>
      </c>
      <c r="D265" t="s">
        <v>668</v>
      </c>
      <c r="E265" t="str">
        <f t="shared" si="8"/>
        <v>BOYACÁ - LA CAPILLA</v>
      </c>
      <c r="F265">
        <v>2359</v>
      </c>
      <c r="G265">
        <v>0.2</v>
      </c>
      <c r="H265">
        <v>0.123</v>
      </c>
      <c r="I265">
        <f t="shared" si="9"/>
        <v>1</v>
      </c>
    </row>
    <row r="266" spans="2:9" x14ac:dyDescent="0.25">
      <c r="B266">
        <v>15401</v>
      </c>
      <c r="C266" t="s">
        <v>624</v>
      </c>
      <c r="D266" t="s">
        <v>669</v>
      </c>
      <c r="E266" t="str">
        <f t="shared" si="8"/>
        <v>BOYACÁ - LA VICTORIA</v>
      </c>
      <c r="F266">
        <v>1673</v>
      </c>
      <c r="G266">
        <v>0.15</v>
      </c>
      <c r="H266">
        <v>9.2249999999999999E-2</v>
      </c>
      <c r="I266">
        <f t="shared" si="9"/>
        <v>1</v>
      </c>
    </row>
    <row r="267" spans="2:9" x14ac:dyDescent="0.25">
      <c r="B267">
        <v>15403</v>
      </c>
      <c r="C267" t="s">
        <v>624</v>
      </c>
      <c r="D267" t="s">
        <v>670</v>
      </c>
      <c r="E267" t="str">
        <f t="shared" si="8"/>
        <v>BOYACÁ - LA UVITA</v>
      </c>
      <c r="F267">
        <v>2173</v>
      </c>
      <c r="G267">
        <v>0.48</v>
      </c>
      <c r="H267">
        <v>0.29519999999999996</v>
      </c>
      <c r="I267">
        <f t="shared" si="9"/>
        <v>1</v>
      </c>
    </row>
    <row r="268" spans="2:9" x14ac:dyDescent="0.25">
      <c r="B268">
        <v>15407</v>
      </c>
      <c r="C268" t="s">
        <v>624</v>
      </c>
      <c r="D268" t="s">
        <v>671</v>
      </c>
      <c r="E268" t="str">
        <f t="shared" si="8"/>
        <v>BOYACÁ - VILLA DE LEYVA</v>
      </c>
      <c r="F268">
        <v>18606</v>
      </c>
      <c r="G268">
        <v>10.68</v>
      </c>
      <c r="H268">
        <v>6.5682</v>
      </c>
      <c r="I268">
        <f t="shared" si="9"/>
        <v>1</v>
      </c>
    </row>
    <row r="269" spans="2:9" x14ac:dyDescent="0.25">
      <c r="B269">
        <v>15425</v>
      </c>
      <c r="C269" t="s">
        <v>624</v>
      </c>
      <c r="D269" t="s">
        <v>672</v>
      </c>
      <c r="E269" t="str">
        <f t="shared" si="8"/>
        <v>BOYACÁ - MACANAL</v>
      </c>
      <c r="F269">
        <v>4842</v>
      </c>
      <c r="G269">
        <v>0.46</v>
      </c>
      <c r="H269">
        <v>0.28289999999999998</v>
      </c>
      <c r="I269">
        <f t="shared" si="9"/>
        <v>1</v>
      </c>
    </row>
    <row r="270" spans="2:9" x14ac:dyDescent="0.25">
      <c r="B270">
        <v>15442</v>
      </c>
      <c r="C270" t="s">
        <v>624</v>
      </c>
      <c r="D270" t="s">
        <v>673</v>
      </c>
      <c r="E270" t="str">
        <f t="shared" si="8"/>
        <v>BOYACÁ - MARIPÍ</v>
      </c>
      <c r="F270">
        <v>7293</v>
      </c>
      <c r="G270">
        <v>0.32</v>
      </c>
      <c r="H270">
        <v>0.1968</v>
      </c>
      <c r="I270">
        <f t="shared" si="9"/>
        <v>1</v>
      </c>
    </row>
    <row r="271" spans="2:9" x14ac:dyDescent="0.25">
      <c r="B271">
        <v>15455</v>
      </c>
      <c r="C271" t="s">
        <v>624</v>
      </c>
      <c r="D271" t="s">
        <v>674</v>
      </c>
      <c r="E271" t="str">
        <f t="shared" si="8"/>
        <v>BOYACÁ - MIRAFLORES</v>
      </c>
      <c r="F271">
        <v>9802</v>
      </c>
      <c r="G271">
        <v>1.84</v>
      </c>
      <c r="H271">
        <v>1.1315999999999999</v>
      </c>
      <c r="I271">
        <f t="shared" si="9"/>
        <v>1</v>
      </c>
    </row>
    <row r="272" spans="2:9" x14ac:dyDescent="0.25">
      <c r="B272">
        <v>15464</v>
      </c>
      <c r="C272" t="s">
        <v>624</v>
      </c>
      <c r="D272" t="s">
        <v>675</v>
      </c>
      <c r="E272" t="str">
        <f t="shared" si="8"/>
        <v>BOYACÁ - MONGUA</v>
      </c>
      <c r="F272">
        <v>4495</v>
      </c>
      <c r="G272">
        <v>0.16</v>
      </c>
      <c r="H272">
        <v>9.8400000000000001E-2</v>
      </c>
      <c r="I272">
        <f t="shared" si="9"/>
        <v>1</v>
      </c>
    </row>
    <row r="273" spans="2:9" x14ac:dyDescent="0.25">
      <c r="B273">
        <v>15466</v>
      </c>
      <c r="C273" t="s">
        <v>624</v>
      </c>
      <c r="D273" t="s">
        <v>676</v>
      </c>
      <c r="E273" t="str">
        <f t="shared" si="8"/>
        <v>BOYACÁ - MONGUÍ</v>
      </c>
      <c r="F273">
        <v>4982</v>
      </c>
      <c r="G273">
        <v>0.55000000000000004</v>
      </c>
      <c r="H273">
        <v>0.33825</v>
      </c>
      <c r="I273">
        <f t="shared" si="9"/>
        <v>1</v>
      </c>
    </row>
    <row r="274" spans="2:9" x14ac:dyDescent="0.25">
      <c r="B274">
        <v>15469</v>
      </c>
      <c r="C274" t="s">
        <v>624</v>
      </c>
      <c r="D274" t="s">
        <v>677</v>
      </c>
      <c r="E274" t="str">
        <f t="shared" si="8"/>
        <v>BOYACÁ - MONIQUIRÁ</v>
      </c>
      <c r="F274">
        <v>21182</v>
      </c>
      <c r="G274">
        <v>9.3699999999999992</v>
      </c>
      <c r="H274">
        <v>5.7625499999999992</v>
      </c>
      <c r="I274">
        <f t="shared" si="9"/>
        <v>1</v>
      </c>
    </row>
    <row r="275" spans="2:9" x14ac:dyDescent="0.25">
      <c r="B275">
        <v>15476</v>
      </c>
      <c r="C275" t="s">
        <v>624</v>
      </c>
      <c r="D275" t="s">
        <v>678</v>
      </c>
      <c r="E275" t="str">
        <f t="shared" si="8"/>
        <v>BOYACÁ - MOTAVITA</v>
      </c>
      <c r="F275">
        <v>8607</v>
      </c>
      <c r="G275">
        <v>0.28999999999999998</v>
      </c>
      <c r="H275">
        <v>0.17834999999999998</v>
      </c>
      <c r="I275">
        <f t="shared" si="9"/>
        <v>1</v>
      </c>
    </row>
    <row r="276" spans="2:9" x14ac:dyDescent="0.25">
      <c r="B276">
        <v>15480</v>
      </c>
      <c r="C276" t="s">
        <v>624</v>
      </c>
      <c r="D276" t="s">
        <v>679</v>
      </c>
      <c r="E276" t="str">
        <f t="shared" si="8"/>
        <v>BOYACÁ - MUZO</v>
      </c>
      <c r="F276">
        <v>8548</v>
      </c>
      <c r="G276">
        <v>3.78</v>
      </c>
      <c r="H276">
        <v>2.3247</v>
      </c>
      <c r="I276">
        <f t="shared" si="9"/>
        <v>1</v>
      </c>
    </row>
    <row r="277" spans="2:9" x14ac:dyDescent="0.25">
      <c r="B277">
        <v>15491</v>
      </c>
      <c r="C277" t="s">
        <v>624</v>
      </c>
      <c r="D277" t="s">
        <v>680</v>
      </c>
      <c r="E277" t="str">
        <f t="shared" si="8"/>
        <v>BOYACÁ - NOBSA</v>
      </c>
      <c r="F277">
        <v>16612</v>
      </c>
      <c r="G277">
        <v>5.0199999999999996</v>
      </c>
      <c r="H277">
        <v>3.0872999999999995</v>
      </c>
      <c r="I277">
        <f t="shared" si="9"/>
        <v>1</v>
      </c>
    </row>
    <row r="278" spans="2:9" x14ac:dyDescent="0.25">
      <c r="B278">
        <v>15494</v>
      </c>
      <c r="C278" t="s">
        <v>624</v>
      </c>
      <c r="D278" t="s">
        <v>681</v>
      </c>
      <c r="E278" t="str">
        <f t="shared" si="8"/>
        <v>BOYACÁ - NUEVO COLÓN</v>
      </c>
      <c r="F278">
        <v>6729</v>
      </c>
      <c r="G278">
        <v>0.26</v>
      </c>
      <c r="H278">
        <v>0.15990000000000001</v>
      </c>
      <c r="I278">
        <f t="shared" si="9"/>
        <v>1</v>
      </c>
    </row>
    <row r="279" spans="2:9" x14ac:dyDescent="0.25">
      <c r="B279">
        <v>15500</v>
      </c>
      <c r="C279" t="s">
        <v>624</v>
      </c>
      <c r="D279" t="s">
        <v>682</v>
      </c>
      <c r="E279" t="str">
        <f t="shared" si="8"/>
        <v>BOYACÁ - OICATÁ</v>
      </c>
      <c r="F279">
        <v>2833</v>
      </c>
      <c r="G279">
        <v>0.25</v>
      </c>
      <c r="H279">
        <v>0.15375</v>
      </c>
      <c r="I279">
        <f t="shared" si="9"/>
        <v>1</v>
      </c>
    </row>
    <row r="280" spans="2:9" x14ac:dyDescent="0.25">
      <c r="B280">
        <v>15507</v>
      </c>
      <c r="C280" t="s">
        <v>624</v>
      </c>
      <c r="D280" t="s">
        <v>683</v>
      </c>
      <c r="E280" t="str">
        <f t="shared" si="8"/>
        <v>BOYACÁ - OTANCHE</v>
      </c>
      <c r="F280">
        <v>10696</v>
      </c>
      <c r="G280">
        <v>2.69</v>
      </c>
      <c r="H280">
        <v>1.65435</v>
      </c>
      <c r="I280">
        <f t="shared" si="9"/>
        <v>1</v>
      </c>
    </row>
    <row r="281" spans="2:9" x14ac:dyDescent="0.25">
      <c r="B281">
        <v>15511</v>
      </c>
      <c r="C281" t="s">
        <v>624</v>
      </c>
      <c r="D281" t="s">
        <v>684</v>
      </c>
      <c r="E281" t="str">
        <f t="shared" si="8"/>
        <v>BOYACÁ - PACHAVITA</v>
      </c>
      <c r="F281">
        <v>2287</v>
      </c>
      <c r="G281">
        <v>0.09</v>
      </c>
      <c r="H281">
        <v>5.5349999999999996E-2</v>
      </c>
      <c r="I281">
        <f t="shared" si="9"/>
        <v>1</v>
      </c>
    </row>
    <row r="282" spans="2:9" x14ac:dyDescent="0.25">
      <c r="B282">
        <v>15514</v>
      </c>
      <c r="C282" t="s">
        <v>624</v>
      </c>
      <c r="D282" t="s">
        <v>685</v>
      </c>
      <c r="E282" t="str">
        <f t="shared" si="8"/>
        <v>BOYACÁ - PÁEZ</v>
      </c>
      <c r="F282">
        <v>2741</v>
      </c>
      <c r="G282">
        <v>0.28999999999999998</v>
      </c>
      <c r="H282">
        <v>0.17834999999999998</v>
      </c>
      <c r="I282">
        <f t="shared" si="9"/>
        <v>1</v>
      </c>
    </row>
    <row r="283" spans="2:9" x14ac:dyDescent="0.25">
      <c r="B283">
        <v>15516</v>
      </c>
      <c r="C283" t="s">
        <v>624</v>
      </c>
      <c r="D283" t="s">
        <v>686</v>
      </c>
      <c r="E283" t="str">
        <f t="shared" si="8"/>
        <v>BOYACÁ - PAIPA</v>
      </c>
      <c r="F283">
        <v>31868</v>
      </c>
      <c r="G283">
        <v>15.57</v>
      </c>
      <c r="H283">
        <v>9.5755499999999998</v>
      </c>
      <c r="I283">
        <f t="shared" si="9"/>
        <v>1</v>
      </c>
    </row>
    <row r="284" spans="2:9" x14ac:dyDescent="0.25">
      <c r="B284">
        <v>15518</v>
      </c>
      <c r="C284" t="s">
        <v>624</v>
      </c>
      <c r="D284" t="s">
        <v>687</v>
      </c>
      <c r="E284" t="str">
        <f t="shared" si="8"/>
        <v>BOYACÁ - PAJARITO</v>
      </c>
      <c r="F284">
        <v>1487</v>
      </c>
      <c r="G284">
        <v>0.04</v>
      </c>
      <c r="H284">
        <v>2.46E-2</v>
      </c>
      <c r="I284">
        <f t="shared" si="9"/>
        <v>1</v>
      </c>
    </row>
    <row r="285" spans="2:9" x14ac:dyDescent="0.25">
      <c r="B285">
        <v>15522</v>
      </c>
      <c r="C285" t="s">
        <v>624</v>
      </c>
      <c r="D285" t="s">
        <v>688</v>
      </c>
      <c r="E285" t="str">
        <f t="shared" si="8"/>
        <v>BOYACÁ - PANQUEBA</v>
      </c>
      <c r="F285">
        <v>1359</v>
      </c>
      <c r="G285">
        <v>0.18</v>
      </c>
      <c r="H285">
        <v>0.11069999999999999</v>
      </c>
      <c r="I285">
        <f t="shared" si="9"/>
        <v>1</v>
      </c>
    </row>
    <row r="286" spans="2:9" x14ac:dyDescent="0.25">
      <c r="B286">
        <v>15531</v>
      </c>
      <c r="C286" t="s">
        <v>624</v>
      </c>
      <c r="D286" t="s">
        <v>689</v>
      </c>
      <c r="E286" t="str">
        <f t="shared" si="8"/>
        <v>BOYACÁ - PAUNA</v>
      </c>
      <c r="F286">
        <v>10825</v>
      </c>
      <c r="G286">
        <v>0.72</v>
      </c>
      <c r="H286">
        <v>0.44279999999999997</v>
      </c>
      <c r="I286">
        <f t="shared" si="9"/>
        <v>1</v>
      </c>
    </row>
    <row r="287" spans="2:9" x14ac:dyDescent="0.25">
      <c r="B287">
        <v>15533</v>
      </c>
      <c r="C287" t="s">
        <v>624</v>
      </c>
      <c r="D287" t="s">
        <v>690</v>
      </c>
      <c r="E287" t="str">
        <f t="shared" si="8"/>
        <v>BOYACÁ - PAYA</v>
      </c>
      <c r="F287">
        <v>2495</v>
      </c>
      <c r="G287">
        <v>0.17</v>
      </c>
      <c r="H287">
        <v>0.10455</v>
      </c>
      <c r="I287">
        <f t="shared" si="9"/>
        <v>1</v>
      </c>
    </row>
    <row r="288" spans="2:9" x14ac:dyDescent="0.25">
      <c r="B288">
        <v>15537</v>
      </c>
      <c r="C288" t="s">
        <v>624</v>
      </c>
      <c r="D288" t="s">
        <v>691</v>
      </c>
      <c r="E288" t="str">
        <f t="shared" si="8"/>
        <v>BOYACÁ - PAZ DE RÍO</v>
      </c>
      <c r="F288">
        <v>4443</v>
      </c>
      <c r="G288">
        <v>0.78</v>
      </c>
      <c r="H288">
        <v>0.47970000000000002</v>
      </c>
      <c r="I288">
        <f t="shared" si="9"/>
        <v>1</v>
      </c>
    </row>
    <row r="289" spans="2:9" x14ac:dyDescent="0.25">
      <c r="B289">
        <v>15542</v>
      </c>
      <c r="C289" t="s">
        <v>624</v>
      </c>
      <c r="D289" t="s">
        <v>692</v>
      </c>
      <c r="E289" t="str">
        <f t="shared" si="8"/>
        <v>BOYACÁ - PESCA</v>
      </c>
      <c r="F289">
        <v>7374</v>
      </c>
      <c r="G289">
        <v>0.91</v>
      </c>
      <c r="H289">
        <v>0.55964999999999998</v>
      </c>
      <c r="I289">
        <f t="shared" si="9"/>
        <v>1</v>
      </c>
    </row>
    <row r="290" spans="2:9" x14ac:dyDescent="0.25">
      <c r="B290">
        <v>15550</v>
      </c>
      <c r="C290" t="s">
        <v>624</v>
      </c>
      <c r="D290" t="s">
        <v>693</v>
      </c>
      <c r="E290" t="str">
        <f t="shared" si="8"/>
        <v>BOYACÁ - PISBA</v>
      </c>
      <c r="F290">
        <v>1262</v>
      </c>
      <c r="G290">
        <v>7.0000000000000007E-2</v>
      </c>
      <c r="H290">
        <v>4.3050000000000005E-2</v>
      </c>
      <c r="I290">
        <f t="shared" si="9"/>
        <v>1</v>
      </c>
    </row>
    <row r="291" spans="2:9" x14ac:dyDescent="0.25">
      <c r="B291">
        <v>15572</v>
      </c>
      <c r="C291" t="s">
        <v>624</v>
      </c>
      <c r="D291" t="s">
        <v>694</v>
      </c>
      <c r="E291" t="str">
        <f t="shared" si="8"/>
        <v>BOYACÁ - PUERTO BOYACÁ</v>
      </c>
      <c r="F291">
        <v>56930</v>
      </c>
      <c r="G291">
        <v>23.35</v>
      </c>
      <c r="H291">
        <v>14.360250000000001</v>
      </c>
      <c r="I291">
        <f t="shared" si="9"/>
        <v>2</v>
      </c>
    </row>
    <row r="292" spans="2:9" x14ac:dyDescent="0.25">
      <c r="B292">
        <v>15580</v>
      </c>
      <c r="C292" t="s">
        <v>624</v>
      </c>
      <c r="D292" t="s">
        <v>695</v>
      </c>
      <c r="E292" t="str">
        <f t="shared" si="8"/>
        <v>BOYACÁ - QUÍPAMA</v>
      </c>
      <c r="F292">
        <v>7485</v>
      </c>
      <c r="G292">
        <v>0.28000000000000003</v>
      </c>
      <c r="H292">
        <v>0.17220000000000002</v>
      </c>
      <c r="I292">
        <f t="shared" si="9"/>
        <v>1</v>
      </c>
    </row>
    <row r="293" spans="2:9" x14ac:dyDescent="0.25">
      <c r="B293">
        <v>15599</v>
      </c>
      <c r="C293" t="s">
        <v>624</v>
      </c>
      <c r="D293" t="s">
        <v>696</v>
      </c>
      <c r="E293" t="str">
        <f t="shared" si="8"/>
        <v>BOYACÁ - RAMIRIQUÍ</v>
      </c>
      <c r="F293">
        <v>9679</v>
      </c>
      <c r="G293">
        <v>2.59</v>
      </c>
      <c r="H293">
        <v>1.5928499999999999</v>
      </c>
      <c r="I293">
        <f t="shared" si="9"/>
        <v>1</v>
      </c>
    </row>
    <row r="294" spans="2:9" x14ac:dyDescent="0.25">
      <c r="B294">
        <v>15600</v>
      </c>
      <c r="C294" t="s">
        <v>624</v>
      </c>
      <c r="D294" t="s">
        <v>697</v>
      </c>
      <c r="E294" t="str">
        <f t="shared" si="8"/>
        <v>BOYACÁ - RÁQUIRA</v>
      </c>
      <c r="F294">
        <v>14037</v>
      </c>
      <c r="G294">
        <v>1.25</v>
      </c>
      <c r="H294">
        <v>0.76875000000000004</v>
      </c>
      <c r="I294">
        <f t="shared" si="9"/>
        <v>1</v>
      </c>
    </row>
    <row r="295" spans="2:9" x14ac:dyDescent="0.25">
      <c r="B295">
        <v>15621</v>
      </c>
      <c r="C295" t="s">
        <v>624</v>
      </c>
      <c r="D295" t="s">
        <v>698</v>
      </c>
      <c r="E295" t="str">
        <f t="shared" si="8"/>
        <v>BOYACÁ - RONDÓN</v>
      </c>
      <c r="F295">
        <v>2751</v>
      </c>
      <c r="G295">
        <v>0.24</v>
      </c>
      <c r="H295">
        <v>0.14759999999999998</v>
      </c>
      <c r="I295">
        <f t="shared" si="9"/>
        <v>1</v>
      </c>
    </row>
    <row r="296" spans="2:9" x14ac:dyDescent="0.25">
      <c r="B296">
        <v>15632</v>
      </c>
      <c r="C296" t="s">
        <v>624</v>
      </c>
      <c r="D296" t="s">
        <v>699</v>
      </c>
      <c r="E296" t="str">
        <f t="shared" si="8"/>
        <v>BOYACÁ - SABOYÁ</v>
      </c>
      <c r="F296">
        <v>12119</v>
      </c>
      <c r="G296">
        <v>4.6399999999999997</v>
      </c>
      <c r="H296">
        <v>2.8535999999999997</v>
      </c>
      <c r="I296">
        <f t="shared" si="9"/>
        <v>1</v>
      </c>
    </row>
    <row r="297" spans="2:9" x14ac:dyDescent="0.25">
      <c r="B297">
        <v>15638</v>
      </c>
      <c r="C297" t="s">
        <v>624</v>
      </c>
      <c r="D297" t="s">
        <v>700</v>
      </c>
      <c r="E297" t="str">
        <f t="shared" si="8"/>
        <v>BOYACÁ - SÁCHICA</v>
      </c>
      <c r="F297">
        <v>3746</v>
      </c>
      <c r="G297">
        <v>1.26</v>
      </c>
      <c r="H297">
        <v>0.77490000000000003</v>
      </c>
      <c r="I297">
        <f t="shared" si="9"/>
        <v>1</v>
      </c>
    </row>
    <row r="298" spans="2:9" x14ac:dyDescent="0.25">
      <c r="B298">
        <v>15646</v>
      </c>
      <c r="C298" t="s">
        <v>624</v>
      </c>
      <c r="D298" t="s">
        <v>701</v>
      </c>
      <c r="E298" t="str">
        <f t="shared" si="8"/>
        <v>BOYACÁ - SAMACÁ</v>
      </c>
      <c r="F298">
        <v>20767</v>
      </c>
      <c r="G298">
        <v>6.02</v>
      </c>
      <c r="H298">
        <v>3.7022999999999997</v>
      </c>
      <c r="I298">
        <f t="shared" si="9"/>
        <v>1</v>
      </c>
    </row>
    <row r="299" spans="2:9" x14ac:dyDescent="0.25">
      <c r="B299">
        <v>15660</v>
      </c>
      <c r="C299" t="s">
        <v>624</v>
      </c>
      <c r="D299" t="s">
        <v>702</v>
      </c>
      <c r="E299" t="str">
        <f t="shared" si="8"/>
        <v>BOYACÁ - SAN EDUARDO</v>
      </c>
      <c r="F299">
        <v>1850</v>
      </c>
      <c r="G299">
        <v>0.15</v>
      </c>
      <c r="H299">
        <v>9.2249999999999999E-2</v>
      </c>
      <c r="I299">
        <f t="shared" si="9"/>
        <v>1</v>
      </c>
    </row>
    <row r="300" spans="2:9" x14ac:dyDescent="0.25">
      <c r="B300">
        <v>15664</v>
      </c>
      <c r="C300" t="s">
        <v>624</v>
      </c>
      <c r="D300" t="s">
        <v>703</v>
      </c>
      <c r="E300" t="str">
        <f t="shared" si="8"/>
        <v>BOYACÁ - SAN JOSÉ DE PARE</v>
      </c>
      <c r="F300">
        <v>4955</v>
      </c>
      <c r="G300">
        <v>0.31</v>
      </c>
      <c r="H300">
        <v>0.19064999999999999</v>
      </c>
      <c r="I300">
        <f t="shared" si="9"/>
        <v>1</v>
      </c>
    </row>
    <row r="301" spans="2:9" x14ac:dyDescent="0.25">
      <c r="B301">
        <v>15667</v>
      </c>
      <c r="C301" t="s">
        <v>624</v>
      </c>
      <c r="D301" t="s">
        <v>704</v>
      </c>
      <c r="E301" t="str">
        <f t="shared" si="8"/>
        <v>BOYACÁ - SAN LUIS DE GACENO</v>
      </c>
      <c r="F301">
        <v>4667</v>
      </c>
      <c r="G301">
        <v>1.1200000000000001</v>
      </c>
      <c r="H301">
        <v>0.68880000000000008</v>
      </c>
      <c r="I301">
        <f t="shared" si="9"/>
        <v>1</v>
      </c>
    </row>
    <row r="302" spans="2:9" x14ac:dyDescent="0.25">
      <c r="B302">
        <v>15673</v>
      </c>
      <c r="C302" t="s">
        <v>624</v>
      </c>
      <c r="D302" t="s">
        <v>705</v>
      </c>
      <c r="E302" t="str">
        <f t="shared" si="8"/>
        <v>BOYACÁ - SAN MATEO</v>
      </c>
      <c r="F302">
        <v>3304</v>
      </c>
      <c r="G302">
        <v>0.27</v>
      </c>
      <c r="H302">
        <v>0.16605</v>
      </c>
      <c r="I302">
        <f t="shared" si="9"/>
        <v>1</v>
      </c>
    </row>
    <row r="303" spans="2:9" x14ac:dyDescent="0.25">
      <c r="B303">
        <v>15676</v>
      </c>
      <c r="C303" t="s">
        <v>624</v>
      </c>
      <c r="D303" t="s">
        <v>706</v>
      </c>
      <c r="E303" t="str">
        <f t="shared" si="8"/>
        <v>BOYACÁ - SAN MIGUEL DE SEMA</v>
      </c>
      <c r="F303">
        <v>4522</v>
      </c>
      <c r="G303">
        <v>0.31</v>
      </c>
      <c r="H303">
        <v>0.19064999999999999</v>
      </c>
      <c r="I303">
        <f t="shared" si="9"/>
        <v>1</v>
      </c>
    </row>
    <row r="304" spans="2:9" x14ac:dyDescent="0.25">
      <c r="B304">
        <v>15681</v>
      </c>
      <c r="C304" t="s">
        <v>624</v>
      </c>
      <c r="D304" t="s">
        <v>707</v>
      </c>
      <c r="E304" t="str">
        <f t="shared" si="8"/>
        <v>BOYACÁ - SAN PABLO DE BORBUR</v>
      </c>
      <c r="F304">
        <v>10341</v>
      </c>
      <c r="G304">
        <v>0.59</v>
      </c>
      <c r="H304">
        <v>0.36284999999999995</v>
      </c>
      <c r="I304">
        <f t="shared" si="9"/>
        <v>1</v>
      </c>
    </row>
    <row r="305" spans="2:9" x14ac:dyDescent="0.25">
      <c r="B305">
        <v>15686</v>
      </c>
      <c r="C305" t="s">
        <v>624</v>
      </c>
      <c r="D305" t="s">
        <v>708</v>
      </c>
      <c r="E305" t="str">
        <f t="shared" si="8"/>
        <v>BOYACÁ - SANTANA</v>
      </c>
      <c r="F305">
        <v>7605</v>
      </c>
      <c r="G305">
        <v>1.57</v>
      </c>
      <c r="H305">
        <v>0.96555000000000002</v>
      </c>
      <c r="I305">
        <f t="shared" si="9"/>
        <v>1</v>
      </c>
    </row>
    <row r="306" spans="2:9" x14ac:dyDescent="0.25">
      <c r="B306">
        <v>15690</v>
      </c>
      <c r="C306" t="s">
        <v>624</v>
      </c>
      <c r="D306" t="s">
        <v>709</v>
      </c>
      <c r="E306" t="str">
        <f t="shared" si="8"/>
        <v>BOYACÁ - SANTA MARÍA</v>
      </c>
      <c r="F306">
        <v>3730</v>
      </c>
      <c r="G306">
        <v>0.78</v>
      </c>
      <c r="H306">
        <v>0.47970000000000002</v>
      </c>
      <c r="I306">
        <f t="shared" si="9"/>
        <v>1</v>
      </c>
    </row>
    <row r="307" spans="2:9" x14ac:dyDescent="0.25">
      <c r="B307">
        <v>15693</v>
      </c>
      <c r="C307" t="s">
        <v>624</v>
      </c>
      <c r="D307" t="s">
        <v>710</v>
      </c>
      <c r="E307" t="str">
        <f t="shared" si="8"/>
        <v>BOYACÁ - SANTA ROSA DE VITERBO</v>
      </c>
      <c r="F307">
        <v>13402</v>
      </c>
      <c r="G307">
        <v>3.06</v>
      </c>
      <c r="H307">
        <v>1.8818999999999999</v>
      </c>
      <c r="I307">
        <f t="shared" si="9"/>
        <v>1</v>
      </c>
    </row>
    <row r="308" spans="2:9" x14ac:dyDescent="0.25">
      <c r="B308">
        <v>15696</v>
      </c>
      <c r="C308" t="s">
        <v>624</v>
      </c>
      <c r="D308" t="s">
        <v>711</v>
      </c>
      <c r="E308" t="str">
        <f t="shared" si="8"/>
        <v>BOYACÁ - SANTA SOFÍA</v>
      </c>
      <c r="F308">
        <v>2552</v>
      </c>
      <c r="G308">
        <v>0.56000000000000005</v>
      </c>
      <c r="H308">
        <v>0.34440000000000004</v>
      </c>
      <c r="I308">
        <f t="shared" si="9"/>
        <v>1</v>
      </c>
    </row>
    <row r="309" spans="2:9" x14ac:dyDescent="0.25">
      <c r="B309">
        <v>15720</v>
      </c>
      <c r="C309" t="s">
        <v>624</v>
      </c>
      <c r="D309" t="s">
        <v>712</v>
      </c>
      <c r="E309" t="str">
        <f t="shared" si="8"/>
        <v>BOYACÁ - SATIVANORTE</v>
      </c>
      <c r="F309">
        <v>2177</v>
      </c>
      <c r="G309">
        <v>0.16</v>
      </c>
      <c r="H309">
        <v>9.8400000000000001E-2</v>
      </c>
      <c r="I309">
        <f t="shared" si="9"/>
        <v>1</v>
      </c>
    </row>
    <row r="310" spans="2:9" x14ac:dyDescent="0.25">
      <c r="B310">
        <v>15723</v>
      </c>
      <c r="C310" t="s">
        <v>624</v>
      </c>
      <c r="D310" t="s">
        <v>713</v>
      </c>
      <c r="E310" t="str">
        <f t="shared" si="8"/>
        <v>BOYACÁ - SATIVASUR</v>
      </c>
      <c r="F310">
        <v>1021</v>
      </c>
      <c r="G310">
        <v>0.19</v>
      </c>
      <c r="H310">
        <v>0.11685</v>
      </c>
      <c r="I310">
        <f t="shared" si="9"/>
        <v>1</v>
      </c>
    </row>
    <row r="311" spans="2:9" x14ac:dyDescent="0.25">
      <c r="B311">
        <v>15740</v>
      </c>
      <c r="C311" t="s">
        <v>624</v>
      </c>
      <c r="D311" t="s">
        <v>714</v>
      </c>
      <c r="E311" t="str">
        <f t="shared" si="8"/>
        <v>BOYACÁ - SIACHOQUE</v>
      </c>
      <c r="F311">
        <v>8973</v>
      </c>
      <c r="G311">
        <v>0.48</v>
      </c>
      <c r="H311">
        <v>0.29519999999999996</v>
      </c>
      <c r="I311">
        <f t="shared" si="9"/>
        <v>1</v>
      </c>
    </row>
    <row r="312" spans="2:9" x14ac:dyDescent="0.25">
      <c r="B312">
        <v>15753</v>
      </c>
      <c r="C312" t="s">
        <v>624</v>
      </c>
      <c r="D312" t="s">
        <v>715</v>
      </c>
      <c r="E312" t="str">
        <f t="shared" si="8"/>
        <v>BOYACÁ - SOATÁ</v>
      </c>
      <c r="F312">
        <v>6541</v>
      </c>
      <c r="G312">
        <v>3.66</v>
      </c>
      <c r="H312">
        <v>2.2509000000000001</v>
      </c>
      <c r="I312">
        <f t="shared" si="9"/>
        <v>1</v>
      </c>
    </row>
    <row r="313" spans="2:9" x14ac:dyDescent="0.25">
      <c r="B313">
        <v>15755</v>
      </c>
      <c r="C313" t="s">
        <v>624</v>
      </c>
      <c r="D313" t="s">
        <v>716</v>
      </c>
      <c r="E313" t="str">
        <f t="shared" si="8"/>
        <v>BOYACÁ - SOCOTÁ</v>
      </c>
      <c r="F313">
        <v>7353</v>
      </c>
      <c r="G313">
        <v>0.32</v>
      </c>
      <c r="H313">
        <v>0.1968</v>
      </c>
      <c r="I313">
        <f t="shared" si="9"/>
        <v>1</v>
      </c>
    </row>
    <row r="314" spans="2:9" x14ac:dyDescent="0.25">
      <c r="B314">
        <v>15757</v>
      </c>
      <c r="C314" t="s">
        <v>624</v>
      </c>
      <c r="D314" t="s">
        <v>717</v>
      </c>
      <c r="E314" t="str">
        <f t="shared" si="8"/>
        <v>BOYACÁ - SOCHA</v>
      </c>
      <c r="F314">
        <v>6924</v>
      </c>
      <c r="G314">
        <v>1.06</v>
      </c>
      <c r="H314">
        <v>0.65190000000000003</v>
      </c>
      <c r="I314">
        <f t="shared" si="9"/>
        <v>1</v>
      </c>
    </row>
    <row r="315" spans="2:9" x14ac:dyDescent="0.25">
      <c r="B315">
        <v>15759</v>
      </c>
      <c r="C315" t="s">
        <v>624</v>
      </c>
      <c r="D315" t="s">
        <v>718</v>
      </c>
      <c r="E315" t="str">
        <f t="shared" si="8"/>
        <v>BOYACÁ - SOGAMOSO</v>
      </c>
      <c r="F315">
        <v>111336</v>
      </c>
      <c r="G315">
        <v>76.91</v>
      </c>
      <c r="H315">
        <v>47.29965</v>
      </c>
      <c r="I315">
        <f t="shared" si="9"/>
        <v>2</v>
      </c>
    </row>
    <row r="316" spans="2:9" x14ac:dyDescent="0.25">
      <c r="B316">
        <v>15761</v>
      </c>
      <c r="C316" t="s">
        <v>624</v>
      </c>
      <c r="D316" t="s">
        <v>719</v>
      </c>
      <c r="E316" t="str">
        <f t="shared" si="8"/>
        <v>BOYACÁ - SOMONDOCO</v>
      </c>
      <c r="F316">
        <v>3342</v>
      </c>
      <c r="G316">
        <v>0.32</v>
      </c>
      <c r="H316">
        <v>0.1968</v>
      </c>
      <c r="I316">
        <f t="shared" si="9"/>
        <v>1</v>
      </c>
    </row>
    <row r="317" spans="2:9" x14ac:dyDescent="0.25">
      <c r="B317">
        <v>15762</v>
      </c>
      <c r="C317" t="s">
        <v>624</v>
      </c>
      <c r="D317" t="s">
        <v>720</v>
      </c>
      <c r="E317" t="str">
        <f t="shared" si="8"/>
        <v>BOYACÁ - SORA</v>
      </c>
      <c r="F317">
        <v>3030</v>
      </c>
      <c r="G317">
        <v>0.19</v>
      </c>
      <c r="H317">
        <v>0.11685</v>
      </c>
      <c r="I317">
        <f t="shared" si="9"/>
        <v>1</v>
      </c>
    </row>
    <row r="318" spans="2:9" x14ac:dyDescent="0.25">
      <c r="B318">
        <v>15763</v>
      </c>
      <c r="C318" t="s">
        <v>624</v>
      </c>
      <c r="D318" t="s">
        <v>721</v>
      </c>
      <c r="E318" t="str">
        <f t="shared" si="8"/>
        <v>BOYACÁ - SOTAQUIRÁ</v>
      </c>
      <c r="F318">
        <v>7224</v>
      </c>
      <c r="G318">
        <v>0.72</v>
      </c>
      <c r="H318">
        <v>0.44279999999999997</v>
      </c>
      <c r="I318">
        <f t="shared" si="9"/>
        <v>1</v>
      </c>
    </row>
    <row r="319" spans="2:9" x14ac:dyDescent="0.25">
      <c r="B319">
        <v>15764</v>
      </c>
      <c r="C319" t="s">
        <v>624</v>
      </c>
      <c r="D319" t="s">
        <v>722</v>
      </c>
      <c r="E319" t="str">
        <f t="shared" si="8"/>
        <v>BOYACÁ - SORACÁ</v>
      </c>
      <c r="F319">
        <v>5109</v>
      </c>
      <c r="G319">
        <v>0.59</v>
      </c>
      <c r="H319">
        <v>0.36284999999999995</v>
      </c>
      <c r="I319">
        <f t="shared" si="9"/>
        <v>1</v>
      </c>
    </row>
    <row r="320" spans="2:9" x14ac:dyDescent="0.25">
      <c r="B320">
        <v>15774</v>
      </c>
      <c r="C320" t="s">
        <v>624</v>
      </c>
      <c r="D320" t="s">
        <v>723</v>
      </c>
      <c r="E320" t="str">
        <f t="shared" si="8"/>
        <v>BOYACÁ - SUSACÓN</v>
      </c>
      <c r="F320">
        <v>2861</v>
      </c>
      <c r="G320">
        <v>0.14000000000000001</v>
      </c>
      <c r="H320">
        <v>8.610000000000001E-2</v>
      </c>
      <c r="I320">
        <f t="shared" si="9"/>
        <v>1</v>
      </c>
    </row>
    <row r="321" spans="2:9" x14ac:dyDescent="0.25">
      <c r="B321">
        <v>15776</v>
      </c>
      <c r="C321" t="s">
        <v>624</v>
      </c>
      <c r="D321" t="s">
        <v>724</v>
      </c>
      <c r="E321" t="str">
        <f t="shared" si="8"/>
        <v>BOYACÁ - SUTAMARCHÁN</v>
      </c>
      <c r="F321">
        <v>5802</v>
      </c>
      <c r="G321">
        <v>1.9</v>
      </c>
      <c r="H321">
        <v>1.1684999999999999</v>
      </c>
      <c r="I321">
        <f t="shared" si="9"/>
        <v>1</v>
      </c>
    </row>
    <row r="322" spans="2:9" x14ac:dyDescent="0.25">
      <c r="B322">
        <v>15778</v>
      </c>
      <c r="C322" t="s">
        <v>624</v>
      </c>
      <c r="D322" t="s">
        <v>725</v>
      </c>
      <c r="E322" t="str">
        <f t="shared" si="8"/>
        <v>BOYACÁ - SUTATENZA</v>
      </c>
      <c r="F322">
        <v>3894</v>
      </c>
      <c r="G322">
        <v>0.16</v>
      </c>
      <c r="H322">
        <v>9.8400000000000001E-2</v>
      </c>
      <c r="I322">
        <f t="shared" si="9"/>
        <v>1</v>
      </c>
    </row>
    <row r="323" spans="2:9" x14ac:dyDescent="0.25">
      <c r="B323">
        <v>15790</v>
      </c>
      <c r="C323" t="s">
        <v>624</v>
      </c>
      <c r="D323" t="s">
        <v>726</v>
      </c>
      <c r="E323" t="str">
        <f t="shared" si="8"/>
        <v>BOYACÁ - TASCO</v>
      </c>
      <c r="F323">
        <v>6117</v>
      </c>
      <c r="G323">
        <v>0.76</v>
      </c>
      <c r="H323">
        <v>0.46739999999999998</v>
      </c>
      <c r="I323">
        <f t="shared" si="9"/>
        <v>1</v>
      </c>
    </row>
    <row r="324" spans="2:9" x14ac:dyDescent="0.25">
      <c r="B324">
        <v>15798</v>
      </c>
      <c r="C324" t="s">
        <v>624</v>
      </c>
      <c r="D324" t="s">
        <v>727</v>
      </c>
      <c r="E324" t="str">
        <f t="shared" ref="E324:E387" si="10">C324&amp;" - "&amp;D324</f>
        <v>BOYACÁ - TENZA</v>
      </c>
      <c r="F324">
        <v>3888</v>
      </c>
      <c r="G324">
        <v>0.73</v>
      </c>
      <c r="H324">
        <v>0.44894999999999996</v>
      </c>
      <c r="I324">
        <f t="shared" ref="I324:I387" si="11">IF(H324&lt;$P$3,$O$3,IF(H324&lt;$P$4,$O$4,IF(H324&lt;$P$5,$O$5,$O$6)))</f>
        <v>1</v>
      </c>
    </row>
    <row r="325" spans="2:9" x14ac:dyDescent="0.25">
      <c r="B325">
        <v>15804</v>
      </c>
      <c r="C325" t="s">
        <v>624</v>
      </c>
      <c r="D325" t="s">
        <v>728</v>
      </c>
      <c r="E325" t="str">
        <f t="shared" si="10"/>
        <v>BOYACÁ - TIBANÁ</v>
      </c>
      <c r="F325">
        <v>8964</v>
      </c>
      <c r="G325">
        <v>1.04</v>
      </c>
      <c r="H325">
        <v>0.63960000000000006</v>
      </c>
      <c r="I325">
        <f t="shared" si="11"/>
        <v>1</v>
      </c>
    </row>
    <row r="326" spans="2:9" x14ac:dyDescent="0.25">
      <c r="B326">
        <v>15806</v>
      </c>
      <c r="C326" t="s">
        <v>624</v>
      </c>
      <c r="D326" t="s">
        <v>729</v>
      </c>
      <c r="E326" t="str">
        <f t="shared" si="10"/>
        <v>BOYACÁ - TIBASOSA</v>
      </c>
      <c r="F326">
        <v>14602</v>
      </c>
      <c r="G326">
        <v>3.13</v>
      </c>
      <c r="H326">
        <v>1.9249499999999999</v>
      </c>
      <c r="I326">
        <f t="shared" si="11"/>
        <v>1</v>
      </c>
    </row>
    <row r="327" spans="2:9" x14ac:dyDescent="0.25">
      <c r="B327">
        <v>15808</v>
      </c>
      <c r="C327" t="s">
        <v>624</v>
      </c>
      <c r="D327" t="s">
        <v>730</v>
      </c>
      <c r="E327" t="str">
        <f t="shared" si="10"/>
        <v>BOYACÁ - TINJACÁ</v>
      </c>
      <c r="F327">
        <v>3045</v>
      </c>
      <c r="G327">
        <v>0.54</v>
      </c>
      <c r="H327">
        <v>0.33210000000000001</v>
      </c>
      <c r="I327">
        <f t="shared" si="11"/>
        <v>1</v>
      </c>
    </row>
    <row r="328" spans="2:9" x14ac:dyDescent="0.25">
      <c r="B328">
        <v>15810</v>
      </c>
      <c r="C328" t="s">
        <v>624</v>
      </c>
      <c r="D328" t="s">
        <v>731</v>
      </c>
      <c r="E328" t="str">
        <f t="shared" si="10"/>
        <v>BOYACÁ - TIPACOQUE</v>
      </c>
      <c r="F328">
        <v>2969</v>
      </c>
      <c r="G328">
        <v>0.28000000000000003</v>
      </c>
      <c r="H328">
        <v>0.17220000000000002</v>
      </c>
      <c r="I328">
        <f t="shared" si="11"/>
        <v>1</v>
      </c>
    </row>
    <row r="329" spans="2:9" x14ac:dyDescent="0.25">
      <c r="B329">
        <v>15814</v>
      </c>
      <c r="C329" t="s">
        <v>624</v>
      </c>
      <c r="D329" t="s">
        <v>732</v>
      </c>
      <c r="E329" t="str">
        <f t="shared" si="10"/>
        <v>BOYACÁ - TOCA</v>
      </c>
      <c r="F329">
        <v>9961</v>
      </c>
      <c r="G329">
        <v>2</v>
      </c>
      <c r="H329">
        <v>1.23</v>
      </c>
      <c r="I329">
        <f t="shared" si="11"/>
        <v>1</v>
      </c>
    </row>
    <row r="330" spans="2:9" x14ac:dyDescent="0.25">
      <c r="B330">
        <v>15816</v>
      </c>
      <c r="C330" t="s">
        <v>624</v>
      </c>
      <c r="D330" t="s">
        <v>733</v>
      </c>
      <c r="E330" t="str">
        <f t="shared" si="10"/>
        <v>BOYACÁ - TOGÜÍ</v>
      </c>
      <c r="F330">
        <v>4818</v>
      </c>
      <c r="G330">
        <v>0.19</v>
      </c>
      <c r="H330">
        <v>0.11685</v>
      </c>
      <c r="I330">
        <f t="shared" si="11"/>
        <v>1</v>
      </c>
    </row>
    <row r="331" spans="2:9" x14ac:dyDescent="0.25">
      <c r="B331">
        <v>15820</v>
      </c>
      <c r="C331" t="s">
        <v>624</v>
      </c>
      <c r="D331" t="s">
        <v>734</v>
      </c>
      <c r="E331" t="str">
        <f t="shared" si="10"/>
        <v>BOYACÁ - TÓPAGA</v>
      </c>
      <c r="F331">
        <v>3691</v>
      </c>
      <c r="G331">
        <v>0.31</v>
      </c>
      <c r="H331">
        <v>0.19064999999999999</v>
      </c>
      <c r="I331">
        <f t="shared" si="11"/>
        <v>1</v>
      </c>
    </row>
    <row r="332" spans="2:9" x14ac:dyDescent="0.25">
      <c r="B332">
        <v>15822</v>
      </c>
      <c r="C332" t="s">
        <v>624</v>
      </c>
      <c r="D332" t="s">
        <v>735</v>
      </c>
      <c r="E332" t="str">
        <f t="shared" si="10"/>
        <v>BOYACÁ - TOTA</v>
      </c>
      <c r="F332">
        <v>5224</v>
      </c>
      <c r="G332">
        <v>0.44</v>
      </c>
      <c r="H332">
        <v>0.27060000000000001</v>
      </c>
      <c r="I332">
        <f t="shared" si="11"/>
        <v>1</v>
      </c>
    </row>
    <row r="333" spans="2:9" x14ac:dyDescent="0.25">
      <c r="B333">
        <v>15832</v>
      </c>
      <c r="C333" t="s">
        <v>624</v>
      </c>
      <c r="D333" t="s">
        <v>736</v>
      </c>
      <c r="E333" t="str">
        <f t="shared" si="10"/>
        <v>BOYACÁ - TUNUNGUÁ</v>
      </c>
      <c r="F333">
        <v>1934</v>
      </c>
      <c r="G333">
        <v>0.09</v>
      </c>
      <c r="H333">
        <v>5.5349999999999996E-2</v>
      </c>
      <c r="I333">
        <f t="shared" si="11"/>
        <v>1</v>
      </c>
    </row>
    <row r="334" spans="2:9" x14ac:dyDescent="0.25">
      <c r="B334">
        <v>15835</v>
      </c>
      <c r="C334" t="s">
        <v>624</v>
      </c>
      <c r="D334" t="s">
        <v>737</v>
      </c>
      <c r="E334" t="str">
        <f t="shared" si="10"/>
        <v>BOYACÁ - TURMEQUÉ</v>
      </c>
      <c r="F334">
        <v>5662</v>
      </c>
      <c r="G334">
        <v>0.61</v>
      </c>
      <c r="H334">
        <v>0.37514999999999998</v>
      </c>
      <c r="I334">
        <f t="shared" si="11"/>
        <v>1</v>
      </c>
    </row>
    <row r="335" spans="2:9" x14ac:dyDescent="0.25">
      <c r="B335">
        <v>15837</v>
      </c>
      <c r="C335" t="s">
        <v>624</v>
      </c>
      <c r="D335" t="s">
        <v>738</v>
      </c>
      <c r="E335" t="str">
        <f t="shared" si="10"/>
        <v>BOYACÁ - TUTA</v>
      </c>
      <c r="F335">
        <v>9916</v>
      </c>
      <c r="G335">
        <v>2.02</v>
      </c>
      <c r="H335">
        <v>1.2423</v>
      </c>
      <c r="I335">
        <f t="shared" si="11"/>
        <v>1</v>
      </c>
    </row>
    <row r="336" spans="2:9" x14ac:dyDescent="0.25">
      <c r="B336">
        <v>15839</v>
      </c>
      <c r="C336" t="s">
        <v>624</v>
      </c>
      <c r="D336" t="s">
        <v>739</v>
      </c>
      <c r="E336" t="str">
        <f t="shared" si="10"/>
        <v>BOYACÁ - TUTAZÁ</v>
      </c>
      <c r="F336">
        <v>1758</v>
      </c>
      <c r="G336">
        <v>7.0000000000000007E-2</v>
      </c>
      <c r="H336">
        <v>4.3050000000000005E-2</v>
      </c>
      <c r="I336">
        <f t="shared" si="11"/>
        <v>1</v>
      </c>
    </row>
    <row r="337" spans="2:9" x14ac:dyDescent="0.25">
      <c r="B337">
        <v>15842</v>
      </c>
      <c r="C337" t="s">
        <v>624</v>
      </c>
      <c r="D337" t="s">
        <v>740</v>
      </c>
      <c r="E337" t="str">
        <f t="shared" si="10"/>
        <v>BOYACÁ - ÚMBITA</v>
      </c>
      <c r="F337">
        <v>10337</v>
      </c>
      <c r="G337">
        <v>0.49</v>
      </c>
      <c r="H337">
        <v>0.30135000000000001</v>
      </c>
      <c r="I337">
        <f t="shared" si="11"/>
        <v>1</v>
      </c>
    </row>
    <row r="338" spans="2:9" x14ac:dyDescent="0.25">
      <c r="B338">
        <v>15861</v>
      </c>
      <c r="C338" t="s">
        <v>624</v>
      </c>
      <c r="D338" t="s">
        <v>741</v>
      </c>
      <c r="E338" t="str">
        <f t="shared" si="10"/>
        <v>BOYACÁ - VENTAQUEMADA</v>
      </c>
      <c r="F338">
        <v>15827</v>
      </c>
      <c r="G338">
        <v>2.65</v>
      </c>
      <c r="H338">
        <v>1.62975</v>
      </c>
      <c r="I338">
        <f t="shared" si="11"/>
        <v>1</v>
      </c>
    </row>
    <row r="339" spans="2:9" x14ac:dyDescent="0.25">
      <c r="B339">
        <v>15879</v>
      </c>
      <c r="C339" t="s">
        <v>624</v>
      </c>
      <c r="D339" t="s">
        <v>742</v>
      </c>
      <c r="E339" t="str">
        <f t="shared" si="10"/>
        <v>BOYACÁ - VIRACACHÁ</v>
      </c>
      <c r="F339">
        <v>3118</v>
      </c>
      <c r="G339">
        <v>0.09</v>
      </c>
      <c r="H339">
        <v>5.5349999999999996E-2</v>
      </c>
      <c r="I339">
        <f t="shared" si="11"/>
        <v>1</v>
      </c>
    </row>
    <row r="340" spans="2:9" x14ac:dyDescent="0.25">
      <c r="B340">
        <v>15897</v>
      </c>
      <c r="C340" t="s">
        <v>624</v>
      </c>
      <c r="D340" t="s">
        <v>743</v>
      </c>
      <c r="E340" t="str">
        <f t="shared" si="10"/>
        <v>BOYACÁ - ZETAQUIRA</v>
      </c>
      <c r="F340">
        <v>4326</v>
      </c>
      <c r="G340">
        <v>0.37</v>
      </c>
      <c r="H340">
        <v>0.22755</v>
      </c>
      <c r="I340">
        <f t="shared" si="11"/>
        <v>1</v>
      </c>
    </row>
    <row r="341" spans="2:9" x14ac:dyDescent="0.25">
      <c r="B341">
        <v>17001</v>
      </c>
      <c r="C341" t="s">
        <v>444</v>
      </c>
      <c r="D341" t="s">
        <v>744</v>
      </c>
      <c r="E341" t="str">
        <f t="shared" si="10"/>
        <v>CALDAS - MANIZALES</v>
      </c>
      <c r="F341">
        <v>401398</v>
      </c>
      <c r="G341">
        <v>413.39</v>
      </c>
      <c r="H341">
        <v>254.23484999999999</v>
      </c>
      <c r="I341">
        <f t="shared" si="11"/>
        <v>3</v>
      </c>
    </row>
    <row r="342" spans="2:9" x14ac:dyDescent="0.25">
      <c r="B342">
        <v>17013</v>
      </c>
      <c r="C342" t="s">
        <v>444</v>
      </c>
      <c r="D342" t="s">
        <v>745</v>
      </c>
      <c r="E342" t="str">
        <f t="shared" si="10"/>
        <v>CALDAS - AGUADAS</v>
      </c>
      <c r="F342">
        <v>21237</v>
      </c>
      <c r="G342">
        <v>8.65</v>
      </c>
      <c r="H342">
        <v>5.31975</v>
      </c>
      <c r="I342">
        <f t="shared" si="11"/>
        <v>1</v>
      </c>
    </row>
    <row r="343" spans="2:9" x14ac:dyDescent="0.25">
      <c r="B343">
        <v>17042</v>
      </c>
      <c r="C343" t="s">
        <v>444</v>
      </c>
      <c r="D343" t="s">
        <v>746</v>
      </c>
      <c r="E343" t="str">
        <f t="shared" si="10"/>
        <v>CALDAS - ANSERMA</v>
      </c>
      <c r="F343">
        <v>33272</v>
      </c>
      <c r="G343">
        <v>13.37</v>
      </c>
      <c r="H343">
        <v>8.22255</v>
      </c>
      <c r="I343">
        <f t="shared" si="11"/>
        <v>1</v>
      </c>
    </row>
    <row r="344" spans="2:9" x14ac:dyDescent="0.25">
      <c r="B344">
        <v>17050</v>
      </c>
      <c r="C344" t="s">
        <v>444</v>
      </c>
      <c r="D344" t="s">
        <v>747</v>
      </c>
      <c r="E344" t="str">
        <f t="shared" si="10"/>
        <v>CALDAS - ARANZAZU</v>
      </c>
      <c r="F344">
        <v>10904</v>
      </c>
      <c r="G344">
        <v>3.18</v>
      </c>
      <c r="H344">
        <v>1.9557</v>
      </c>
      <c r="I344">
        <f t="shared" si="11"/>
        <v>1</v>
      </c>
    </row>
    <row r="345" spans="2:9" x14ac:dyDescent="0.25">
      <c r="B345">
        <v>17088</v>
      </c>
      <c r="C345" t="s">
        <v>444</v>
      </c>
      <c r="D345" t="s">
        <v>748</v>
      </c>
      <c r="E345" t="str">
        <f t="shared" si="10"/>
        <v>CALDAS - BELALCÁZAR</v>
      </c>
      <c r="F345">
        <v>10448</v>
      </c>
      <c r="G345">
        <v>3.4</v>
      </c>
      <c r="H345">
        <v>2.0909999999999997</v>
      </c>
      <c r="I345">
        <f t="shared" si="11"/>
        <v>1</v>
      </c>
    </row>
    <row r="346" spans="2:9" x14ac:dyDescent="0.25">
      <c r="B346">
        <v>17174</v>
      </c>
      <c r="C346" t="s">
        <v>444</v>
      </c>
      <c r="D346" t="s">
        <v>749</v>
      </c>
      <c r="E346" t="str">
        <f t="shared" si="10"/>
        <v>CALDAS - CHINCHINÁ</v>
      </c>
      <c r="F346">
        <v>50673</v>
      </c>
      <c r="G346">
        <v>32.479999999999997</v>
      </c>
      <c r="H346">
        <v>19.975199999999997</v>
      </c>
      <c r="I346">
        <f t="shared" si="11"/>
        <v>2</v>
      </c>
    </row>
    <row r="347" spans="2:9" x14ac:dyDescent="0.25">
      <c r="B347">
        <v>17272</v>
      </c>
      <c r="C347" t="s">
        <v>444</v>
      </c>
      <c r="D347" t="s">
        <v>750</v>
      </c>
      <c r="E347" t="str">
        <f t="shared" si="10"/>
        <v>CALDAS - FILADELFIA</v>
      </c>
      <c r="F347">
        <v>10389</v>
      </c>
      <c r="G347">
        <v>2.4700000000000002</v>
      </c>
      <c r="H347">
        <v>1.51905</v>
      </c>
      <c r="I347">
        <f t="shared" si="11"/>
        <v>1</v>
      </c>
    </row>
    <row r="348" spans="2:9" x14ac:dyDescent="0.25">
      <c r="B348">
        <v>17380</v>
      </c>
      <c r="C348" t="s">
        <v>444</v>
      </c>
      <c r="D348" t="s">
        <v>751</v>
      </c>
      <c r="E348" t="str">
        <f t="shared" si="10"/>
        <v>CALDAS - LA DORADA</v>
      </c>
      <c r="F348">
        <v>78540</v>
      </c>
      <c r="G348">
        <v>45.62</v>
      </c>
      <c r="H348">
        <v>28.056299999999997</v>
      </c>
      <c r="I348">
        <f t="shared" si="11"/>
        <v>2</v>
      </c>
    </row>
    <row r="349" spans="2:9" x14ac:dyDescent="0.25">
      <c r="B349">
        <v>17388</v>
      </c>
      <c r="C349" t="s">
        <v>444</v>
      </c>
      <c r="D349" t="s">
        <v>752</v>
      </c>
      <c r="E349" t="str">
        <f t="shared" si="10"/>
        <v>CALDAS - LA MERCED</v>
      </c>
      <c r="F349">
        <v>5057</v>
      </c>
      <c r="G349">
        <v>2.37</v>
      </c>
      <c r="H349">
        <v>1.4575500000000001</v>
      </c>
      <c r="I349">
        <f t="shared" si="11"/>
        <v>1</v>
      </c>
    </row>
    <row r="350" spans="2:9" x14ac:dyDescent="0.25">
      <c r="B350">
        <v>17433</v>
      </c>
      <c r="C350" t="s">
        <v>444</v>
      </c>
      <c r="D350" t="s">
        <v>753</v>
      </c>
      <c r="E350" t="str">
        <f t="shared" si="10"/>
        <v>CALDAS - MANZANARES</v>
      </c>
      <c r="F350">
        <v>22623</v>
      </c>
      <c r="G350">
        <v>4.01</v>
      </c>
      <c r="H350">
        <v>2.4661499999999998</v>
      </c>
      <c r="I350">
        <f t="shared" si="11"/>
        <v>1</v>
      </c>
    </row>
    <row r="351" spans="2:9" x14ac:dyDescent="0.25">
      <c r="B351">
        <v>17442</v>
      </c>
      <c r="C351" t="s">
        <v>444</v>
      </c>
      <c r="D351" t="s">
        <v>754</v>
      </c>
      <c r="E351" t="str">
        <f t="shared" si="10"/>
        <v>CALDAS - MARMATO</v>
      </c>
      <c r="F351">
        <v>9363</v>
      </c>
      <c r="G351">
        <v>2.69</v>
      </c>
      <c r="H351">
        <v>1.65435</v>
      </c>
      <c r="I351">
        <f t="shared" si="11"/>
        <v>1</v>
      </c>
    </row>
    <row r="352" spans="2:9" x14ac:dyDescent="0.25">
      <c r="B352">
        <v>17444</v>
      </c>
      <c r="C352" t="s">
        <v>444</v>
      </c>
      <c r="D352" t="s">
        <v>755</v>
      </c>
      <c r="E352" t="str">
        <f t="shared" si="10"/>
        <v>CALDAS - MARQUETALIA</v>
      </c>
      <c r="F352">
        <v>15011</v>
      </c>
      <c r="G352">
        <v>3.17</v>
      </c>
      <c r="H352">
        <v>1.9495499999999999</v>
      </c>
      <c r="I352">
        <f t="shared" si="11"/>
        <v>1</v>
      </c>
    </row>
    <row r="353" spans="2:9" x14ac:dyDescent="0.25">
      <c r="B353">
        <v>17446</v>
      </c>
      <c r="C353" t="s">
        <v>444</v>
      </c>
      <c r="D353" t="s">
        <v>756</v>
      </c>
      <c r="E353" t="str">
        <f t="shared" si="10"/>
        <v>CALDAS - MARULANDA</v>
      </c>
      <c r="F353">
        <v>3379</v>
      </c>
      <c r="G353">
        <v>0.25</v>
      </c>
      <c r="H353">
        <v>0.15375</v>
      </c>
      <c r="I353">
        <f t="shared" si="11"/>
        <v>1</v>
      </c>
    </row>
    <row r="354" spans="2:9" x14ac:dyDescent="0.25">
      <c r="B354">
        <v>17486</v>
      </c>
      <c r="C354" t="s">
        <v>444</v>
      </c>
      <c r="D354" t="s">
        <v>757</v>
      </c>
      <c r="E354" t="str">
        <f t="shared" si="10"/>
        <v>CALDAS - NEIRA</v>
      </c>
      <c r="F354">
        <v>31399</v>
      </c>
      <c r="G354">
        <v>6.36</v>
      </c>
      <c r="H354">
        <v>3.9114</v>
      </c>
      <c r="I354">
        <f t="shared" si="11"/>
        <v>1</v>
      </c>
    </row>
    <row r="355" spans="2:9" x14ac:dyDescent="0.25">
      <c r="B355">
        <v>17495</v>
      </c>
      <c r="C355" t="s">
        <v>444</v>
      </c>
      <c r="D355" t="s">
        <v>758</v>
      </c>
      <c r="E355" t="str">
        <f t="shared" si="10"/>
        <v>CALDAS - NORCASIA</v>
      </c>
      <c r="F355">
        <v>6175</v>
      </c>
      <c r="G355">
        <v>1.89</v>
      </c>
      <c r="H355">
        <v>1.16235</v>
      </c>
      <c r="I355">
        <f t="shared" si="11"/>
        <v>1</v>
      </c>
    </row>
    <row r="356" spans="2:9" x14ac:dyDescent="0.25">
      <c r="B356">
        <v>17513</v>
      </c>
      <c r="C356" t="s">
        <v>444</v>
      </c>
      <c r="D356" t="s">
        <v>759</v>
      </c>
      <c r="E356" t="str">
        <f t="shared" si="10"/>
        <v>CALDAS - PÁCORA</v>
      </c>
      <c r="F356">
        <v>10863</v>
      </c>
      <c r="G356">
        <v>5.25</v>
      </c>
      <c r="H356">
        <v>3.2287499999999998</v>
      </c>
      <c r="I356">
        <f t="shared" si="11"/>
        <v>1</v>
      </c>
    </row>
    <row r="357" spans="2:9" x14ac:dyDescent="0.25">
      <c r="B357">
        <v>17524</v>
      </c>
      <c r="C357" t="s">
        <v>444</v>
      </c>
      <c r="D357" t="s">
        <v>760</v>
      </c>
      <c r="E357" t="str">
        <f t="shared" si="10"/>
        <v>CALDAS - PALESTINA</v>
      </c>
      <c r="F357">
        <v>17597</v>
      </c>
      <c r="G357">
        <v>13.7</v>
      </c>
      <c r="H357">
        <v>8.4254999999999995</v>
      </c>
      <c r="I357">
        <f t="shared" si="11"/>
        <v>1</v>
      </c>
    </row>
    <row r="358" spans="2:9" x14ac:dyDescent="0.25">
      <c r="B358">
        <v>17541</v>
      </c>
      <c r="C358" t="s">
        <v>444</v>
      </c>
      <c r="D358" t="s">
        <v>761</v>
      </c>
      <c r="E358" t="str">
        <f t="shared" si="10"/>
        <v>CALDAS - PENSILVANIA</v>
      </c>
      <c r="F358">
        <v>26342</v>
      </c>
      <c r="G358">
        <v>3.55</v>
      </c>
      <c r="H358">
        <v>2.1832499999999997</v>
      </c>
      <c r="I358">
        <f t="shared" si="11"/>
        <v>1</v>
      </c>
    </row>
    <row r="359" spans="2:9" x14ac:dyDescent="0.25">
      <c r="B359">
        <v>17614</v>
      </c>
      <c r="C359" t="s">
        <v>444</v>
      </c>
      <c r="D359" t="s">
        <v>762</v>
      </c>
      <c r="E359" t="str">
        <f t="shared" si="10"/>
        <v>CALDAS - RIOSUCIO</v>
      </c>
      <c r="F359">
        <v>64593</v>
      </c>
      <c r="G359">
        <v>13.7</v>
      </c>
      <c r="H359">
        <v>8.4254999999999995</v>
      </c>
      <c r="I359">
        <f t="shared" si="11"/>
        <v>1</v>
      </c>
    </row>
    <row r="360" spans="2:9" x14ac:dyDescent="0.25">
      <c r="B360">
        <v>17616</v>
      </c>
      <c r="C360" t="s">
        <v>444</v>
      </c>
      <c r="D360" t="s">
        <v>763</v>
      </c>
      <c r="E360" t="str">
        <f t="shared" si="10"/>
        <v>CALDAS - RISARALDA</v>
      </c>
      <c r="F360">
        <v>9153</v>
      </c>
      <c r="G360">
        <v>3.18</v>
      </c>
      <c r="H360">
        <v>1.9557</v>
      </c>
      <c r="I360">
        <f t="shared" si="11"/>
        <v>1</v>
      </c>
    </row>
    <row r="361" spans="2:9" x14ac:dyDescent="0.25">
      <c r="B361">
        <v>17653</v>
      </c>
      <c r="C361" t="s">
        <v>444</v>
      </c>
      <c r="D361" t="s">
        <v>764</v>
      </c>
      <c r="E361" t="str">
        <f t="shared" si="10"/>
        <v>CALDAS - SALAMINA</v>
      </c>
      <c r="F361">
        <v>15389</v>
      </c>
      <c r="G361">
        <v>6.29</v>
      </c>
      <c r="H361">
        <v>3.86835</v>
      </c>
      <c r="I361">
        <f t="shared" si="11"/>
        <v>1</v>
      </c>
    </row>
    <row r="362" spans="2:9" x14ac:dyDescent="0.25">
      <c r="B362">
        <v>17662</v>
      </c>
      <c r="C362" t="s">
        <v>444</v>
      </c>
      <c r="D362" t="s">
        <v>765</v>
      </c>
      <c r="E362" t="str">
        <f t="shared" si="10"/>
        <v>CALDAS - SAMANÁ</v>
      </c>
      <c r="F362">
        <v>25798</v>
      </c>
      <c r="G362">
        <v>3.54</v>
      </c>
      <c r="H362">
        <v>2.1770999999999998</v>
      </c>
      <c r="I362">
        <f t="shared" si="11"/>
        <v>1</v>
      </c>
    </row>
    <row r="363" spans="2:9" x14ac:dyDescent="0.25">
      <c r="B363">
        <v>17665</v>
      </c>
      <c r="C363" t="s">
        <v>444</v>
      </c>
      <c r="D363" t="s">
        <v>766</v>
      </c>
      <c r="E363" t="str">
        <f t="shared" si="10"/>
        <v>CALDAS - SAN JOSÉ</v>
      </c>
      <c r="F363">
        <v>7593</v>
      </c>
      <c r="G363">
        <v>0.59</v>
      </c>
      <c r="H363">
        <v>0.36284999999999995</v>
      </c>
      <c r="I363">
        <f t="shared" si="11"/>
        <v>1</v>
      </c>
    </row>
    <row r="364" spans="2:9" x14ac:dyDescent="0.25">
      <c r="B364">
        <v>17777</v>
      </c>
      <c r="C364" t="s">
        <v>444</v>
      </c>
      <c r="D364" t="s">
        <v>767</v>
      </c>
      <c r="E364" t="str">
        <f t="shared" si="10"/>
        <v>CALDAS - SUPÍA</v>
      </c>
      <c r="F364">
        <v>27489</v>
      </c>
      <c r="G364">
        <v>10.67</v>
      </c>
      <c r="H364">
        <v>6.5620500000000002</v>
      </c>
      <c r="I364">
        <f t="shared" si="11"/>
        <v>1</v>
      </c>
    </row>
    <row r="365" spans="2:9" x14ac:dyDescent="0.25">
      <c r="B365">
        <v>17867</v>
      </c>
      <c r="C365" t="s">
        <v>444</v>
      </c>
      <c r="D365" t="s">
        <v>768</v>
      </c>
      <c r="E365" t="str">
        <f t="shared" si="10"/>
        <v>CALDAS - VICTORIA</v>
      </c>
      <c r="F365">
        <v>8020</v>
      </c>
      <c r="G365">
        <v>2.14</v>
      </c>
      <c r="H365">
        <v>1.3161</v>
      </c>
      <c r="I365">
        <f t="shared" si="11"/>
        <v>1</v>
      </c>
    </row>
    <row r="366" spans="2:9" x14ac:dyDescent="0.25">
      <c r="B366">
        <v>17873</v>
      </c>
      <c r="C366" t="s">
        <v>444</v>
      </c>
      <c r="D366" t="s">
        <v>769</v>
      </c>
      <c r="E366" t="str">
        <f t="shared" si="10"/>
        <v>CALDAS - VILLAMARÍA</v>
      </c>
      <c r="F366">
        <v>60729</v>
      </c>
      <c r="G366">
        <v>36.93</v>
      </c>
      <c r="H366">
        <v>22.711949999999998</v>
      </c>
      <c r="I366">
        <f t="shared" si="11"/>
        <v>2</v>
      </c>
    </row>
    <row r="367" spans="2:9" x14ac:dyDescent="0.25">
      <c r="B367">
        <v>17877</v>
      </c>
      <c r="C367" t="s">
        <v>444</v>
      </c>
      <c r="D367" t="s">
        <v>770</v>
      </c>
      <c r="E367" t="str">
        <f t="shared" si="10"/>
        <v>CALDAS - VITERBO</v>
      </c>
      <c r="F367">
        <v>12388</v>
      </c>
      <c r="G367">
        <v>8</v>
      </c>
      <c r="H367">
        <v>4.92</v>
      </c>
      <c r="I367">
        <f t="shared" si="11"/>
        <v>1</v>
      </c>
    </row>
    <row r="368" spans="2:9" x14ac:dyDescent="0.25">
      <c r="B368">
        <v>18001</v>
      </c>
      <c r="C368" t="s">
        <v>771</v>
      </c>
      <c r="D368" t="s">
        <v>772</v>
      </c>
      <c r="E368" t="str">
        <f t="shared" si="10"/>
        <v>CAQUETÁ - FLORENCIA</v>
      </c>
      <c r="F368">
        <v>184510</v>
      </c>
      <c r="G368">
        <v>118.91</v>
      </c>
      <c r="H368">
        <v>73.129649999999998</v>
      </c>
      <c r="I368">
        <f t="shared" si="11"/>
        <v>3</v>
      </c>
    </row>
    <row r="369" spans="2:9" x14ac:dyDescent="0.25">
      <c r="B369">
        <v>18029</v>
      </c>
      <c r="C369" t="s">
        <v>771</v>
      </c>
      <c r="D369" t="s">
        <v>773</v>
      </c>
      <c r="E369" t="str">
        <f t="shared" si="10"/>
        <v>CAQUETÁ - ALBANIA</v>
      </c>
      <c r="F369">
        <v>6432</v>
      </c>
      <c r="G369">
        <v>1.06</v>
      </c>
      <c r="H369">
        <v>0.65190000000000003</v>
      </c>
      <c r="I369">
        <f t="shared" si="11"/>
        <v>1</v>
      </c>
    </row>
    <row r="370" spans="2:9" x14ac:dyDescent="0.25">
      <c r="B370">
        <v>18094</v>
      </c>
      <c r="C370" t="s">
        <v>771</v>
      </c>
      <c r="D370" t="s">
        <v>774</v>
      </c>
      <c r="E370" t="str">
        <f t="shared" si="10"/>
        <v>CAQUETÁ - BELÉN DE LOS ANDAQUÍES</v>
      </c>
      <c r="F370">
        <v>11780</v>
      </c>
      <c r="G370">
        <v>3.13</v>
      </c>
      <c r="H370">
        <v>1.9249499999999999</v>
      </c>
      <c r="I370">
        <f t="shared" si="11"/>
        <v>1</v>
      </c>
    </row>
    <row r="371" spans="2:9" x14ac:dyDescent="0.25">
      <c r="B371">
        <v>18150</v>
      </c>
      <c r="C371" t="s">
        <v>771</v>
      </c>
      <c r="D371" t="s">
        <v>775</v>
      </c>
      <c r="E371" t="str">
        <f t="shared" si="10"/>
        <v>CAQUETÁ - CARTAGENA DEL CHAIRÁ</v>
      </c>
      <c r="F371">
        <v>35473</v>
      </c>
      <c r="G371">
        <v>6.62</v>
      </c>
      <c r="H371">
        <v>4.0712999999999999</v>
      </c>
      <c r="I371">
        <f t="shared" si="11"/>
        <v>1</v>
      </c>
    </row>
    <row r="372" spans="2:9" x14ac:dyDescent="0.25">
      <c r="B372">
        <v>18205</v>
      </c>
      <c r="C372" t="s">
        <v>771</v>
      </c>
      <c r="D372" t="s">
        <v>776</v>
      </c>
      <c r="E372" t="str">
        <f t="shared" si="10"/>
        <v>CAQUETÁ - CURILLO</v>
      </c>
      <c r="F372">
        <v>11880</v>
      </c>
      <c r="G372">
        <v>1.92</v>
      </c>
      <c r="H372">
        <v>1.1807999999999998</v>
      </c>
      <c r="I372">
        <f t="shared" si="11"/>
        <v>1</v>
      </c>
    </row>
    <row r="373" spans="2:9" x14ac:dyDescent="0.25">
      <c r="B373">
        <v>18247</v>
      </c>
      <c r="C373" t="s">
        <v>771</v>
      </c>
      <c r="D373" t="s">
        <v>777</v>
      </c>
      <c r="E373" t="str">
        <f t="shared" si="10"/>
        <v>CAQUETÁ - EL DONCELLO</v>
      </c>
      <c r="F373">
        <v>22306</v>
      </c>
      <c r="G373">
        <v>9.41</v>
      </c>
      <c r="H373">
        <v>5.7871499999999996</v>
      </c>
      <c r="I373">
        <f t="shared" si="11"/>
        <v>1</v>
      </c>
    </row>
    <row r="374" spans="2:9" x14ac:dyDescent="0.25">
      <c r="B374">
        <v>18256</v>
      </c>
      <c r="C374" t="s">
        <v>771</v>
      </c>
      <c r="D374" t="s">
        <v>778</v>
      </c>
      <c r="E374" t="str">
        <f t="shared" si="10"/>
        <v>CAQUETÁ - EL PAUJÍL</v>
      </c>
      <c r="F374">
        <v>21462</v>
      </c>
      <c r="G374">
        <v>4.5199999999999996</v>
      </c>
      <c r="H374">
        <v>2.7797999999999998</v>
      </c>
      <c r="I374">
        <f t="shared" si="11"/>
        <v>1</v>
      </c>
    </row>
    <row r="375" spans="2:9" x14ac:dyDescent="0.25">
      <c r="B375">
        <v>18410</v>
      </c>
      <c r="C375" t="s">
        <v>771</v>
      </c>
      <c r="D375" t="s">
        <v>779</v>
      </c>
      <c r="E375" t="str">
        <f t="shared" si="10"/>
        <v>CAQUETÁ - LA MONTAÑITA</v>
      </c>
      <c r="F375">
        <v>24323</v>
      </c>
      <c r="G375">
        <v>2.35</v>
      </c>
      <c r="H375">
        <v>1.4452499999999999</v>
      </c>
      <c r="I375">
        <f t="shared" si="11"/>
        <v>1</v>
      </c>
    </row>
    <row r="376" spans="2:9" x14ac:dyDescent="0.25">
      <c r="B376">
        <v>18460</v>
      </c>
      <c r="C376" t="s">
        <v>771</v>
      </c>
      <c r="D376" t="s">
        <v>780</v>
      </c>
      <c r="E376" t="str">
        <f t="shared" si="10"/>
        <v>CAQUETÁ - MILÁN</v>
      </c>
      <c r="F376">
        <v>11860</v>
      </c>
      <c r="G376">
        <v>2.0699999999999998</v>
      </c>
      <c r="H376">
        <v>1.2730499999999998</v>
      </c>
      <c r="I376">
        <f t="shared" si="11"/>
        <v>1</v>
      </c>
    </row>
    <row r="377" spans="2:9" x14ac:dyDescent="0.25">
      <c r="B377">
        <v>18479</v>
      </c>
      <c r="C377" t="s">
        <v>771</v>
      </c>
      <c r="D377" t="s">
        <v>781</v>
      </c>
      <c r="E377" t="str">
        <f t="shared" si="10"/>
        <v>CAQUETÁ - MORELIA</v>
      </c>
      <c r="F377">
        <v>3924</v>
      </c>
      <c r="G377">
        <v>1.29</v>
      </c>
      <c r="H377">
        <v>0.79335</v>
      </c>
      <c r="I377">
        <f t="shared" si="11"/>
        <v>1</v>
      </c>
    </row>
    <row r="378" spans="2:9" x14ac:dyDescent="0.25">
      <c r="B378">
        <v>18592</v>
      </c>
      <c r="C378" t="s">
        <v>771</v>
      </c>
      <c r="D378" t="s">
        <v>782</v>
      </c>
      <c r="E378" t="str">
        <f t="shared" si="10"/>
        <v>CAQUETÁ - PUERTO RICO</v>
      </c>
      <c r="F378">
        <v>33701</v>
      </c>
      <c r="G378">
        <v>13.27</v>
      </c>
      <c r="H378">
        <v>8.1610499999999995</v>
      </c>
      <c r="I378">
        <f t="shared" si="11"/>
        <v>1</v>
      </c>
    </row>
    <row r="379" spans="2:9" x14ac:dyDescent="0.25">
      <c r="B379">
        <v>18610</v>
      </c>
      <c r="C379" t="s">
        <v>771</v>
      </c>
      <c r="D379" t="s">
        <v>783</v>
      </c>
      <c r="E379" t="str">
        <f t="shared" si="10"/>
        <v>CAQUETÁ - SAN JOSÉ DEL FRAGUA</v>
      </c>
      <c r="F379">
        <v>15315</v>
      </c>
      <c r="G379">
        <v>3.12</v>
      </c>
      <c r="H379">
        <v>1.9188000000000001</v>
      </c>
      <c r="I379">
        <f t="shared" si="11"/>
        <v>1</v>
      </c>
    </row>
    <row r="380" spans="2:9" x14ac:dyDescent="0.25">
      <c r="B380">
        <v>18753</v>
      </c>
      <c r="C380" t="s">
        <v>771</v>
      </c>
      <c r="D380" t="s">
        <v>784</v>
      </c>
      <c r="E380" t="str">
        <f t="shared" si="10"/>
        <v>CAQUETÁ - SAN VICENTE DEL CAGUÁN</v>
      </c>
      <c r="F380">
        <v>72949</v>
      </c>
      <c r="G380">
        <v>13.35</v>
      </c>
      <c r="H380">
        <v>8.2102500000000003</v>
      </c>
      <c r="I380">
        <f t="shared" si="11"/>
        <v>1</v>
      </c>
    </row>
    <row r="381" spans="2:9" x14ac:dyDescent="0.25">
      <c r="B381">
        <v>18756</v>
      </c>
      <c r="C381" t="s">
        <v>771</v>
      </c>
      <c r="D381" t="s">
        <v>785</v>
      </c>
      <c r="E381" t="str">
        <f t="shared" si="10"/>
        <v>CAQUETÁ - SOLANO</v>
      </c>
      <c r="F381">
        <v>25546</v>
      </c>
      <c r="G381">
        <v>1.93</v>
      </c>
      <c r="H381">
        <v>1.1869499999999999</v>
      </c>
      <c r="I381">
        <f t="shared" si="11"/>
        <v>1</v>
      </c>
    </row>
    <row r="382" spans="2:9" x14ac:dyDescent="0.25">
      <c r="B382">
        <v>18785</v>
      </c>
      <c r="C382" t="s">
        <v>771</v>
      </c>
      <c r="D382" t="s">
        <v>786</v>
      </c>
      <c r="E382" t="str">
        <f t="shared" si="10"/>
        <v>CAQUETÁ - SOLITA</v>
      </c>
      <c r="F382">
        <v>9130</v>
      </c>
      <c r="G382">
        <v>1.57</v>
      </c>
      <c r="H382">
        <v>0.96555000000000002</v>
      </c>
      <c r="I382">
        <f t="shared" si="11"/>
        <v>1</v>
      </c>
    </row>
    <row r="383" spans="2:9" x14ac:dyDescent="0.25">
      <c r="B383">
        <v>18860</v>
      </c>
      <c r="C383" t="s">
        <v>771</v>
      </c>
      <c r="D383" t="s">
        <v>534</v>
      </c>
      <c r="E383" t="str">
        <f t="shared" si="10"/>
        <v>CAQUETÁ - VALPARAÍSO</v>
      </c>
      <c r="F383">
        <v>11819</v>
      </c>
      <c r="G383">
        <v>1.03</v>
      </c>
      <c r="H383">
        <v>0.63344999999999996</v>
      </c>
      <c r="I383">
        <f t="shared" si="11"/>
        <v>1</v>
      </c>
    </row>
    <row r="384" spans="2:9" x14ac:dyDescent="0.25">
      <c r="B384">
        <v>85001</v>
      </c>
      <c r="C384" t="s">
        <v>787</v>
      </c>
      <c r="D384" t="s">
        <v>788</v>
      </c>
      <c r="E384" t="str">
        <f t="shared" si="10"/>
        <v>CASANARE - YOPAL</v>
      </c>
      <c r="F384">
        <v>152655</v>
      </c>
      <c r="G384">
        <v>123.46</v>
      </c>
      <c r="H384">
        <v>75.927899999999994</v>
      </c>
      <c r="I384">
        <f t="shared" si="11"/>
        <v>3</v>
      </c>
    </row>
    <row r="385" spans="2:9" x14ac:dyDescent="0.25">
      <c r="B385">
        <v>85010</v>
      </c>
      <c r="C385" t="s">
        <v>787</v>
      </c>
      <c r="D385" t="s">
        <v>789</v>
      </c>
      <c r="E385" t="str">
        <f t="shared" si="10"/>
        <v>CASANARE - AGUAZUL</v>
      </c>
      <c r="F385">
        <v>43183</v>
      </c>
      <c r="G385">
        <v>16.91</v>
      </c>
      <c r="H385">
        <v>10.399649999999999</v>
      </c>
      <c r="I385">
        <f t="shared" si="11"/>
        <v>2</v>
      </c>
    </row>
    <row r="386" spans="2:9" x14ac:dyDescent="0.25">
      <c r="B386">
        <v>85015</v>
      </c>
      <c r="C386" t="s">
        <v>787</v>
      </c>
      <c r="D386" t="s">
        <v>790</v>
      </c>
      <c r="E386" t="str">
        <f t="shared" si="10"/>
        <v>CASANARE - CHÁMEZA</v>
      </c>
      <c r="F386">
        <v>2646</v>
      </c>
      <c r="G386">
        <v>0.28000000000000003</v>
      </c>
      <c r="H386">
        <v>0.17220000000000002</v>
      </c>
      <c r="I386">
        <f t="shared" si="11"/>
        <v>1</v>
      </c>
    </row>
    <row r="387" spans="2:9" x14ac:dyDescent="0.25">
      <c r="B387">
        <v>85125</v>
      </c>
      <c r="C387" t="s">
        <v>787</v>
      </c>
      <c r="D387" t="s">
        <v>791</v>
      </c>
      <c r="E387" t="str">
        <f t="shared" si="10"/>
        <v>CASANARE - HATO COROZAL</v>
      </c>
      <c r="F387">
        <v>13020</v>
      </c>
      <c r="G387">
        <v>2.0499999999999998</v>
      </c>
      <c r="H387">
        <v>1.2607499999999998</v>
      </c>
      <c r="I387">
        <f t="shared" si="11"/>
        <v>1</v>
      </c>
    </row>
    <row r="388" spans="2:9" x14ac:dyDescent="0.25">
      <c r="B388">
        <v>85136</v>
      </c>
      <c r="C388" t="s">
        <v>787</v>
      </c>
      <c r="D388" t="s">
        <v>792</v>
      </c>
      <c r="E388" t="str">
        <f t="shared" ref="E388:E451" si="12">C388&amp;" - "&amp;D388</f>
        <v>CASANARE - LA SALINA</v>
      </c>
      <c r="F388">
        <v>1480</v>
      </c>
      <c r="G388">
        <v>0.11</v>
      </c>
      <c r="H388">
        <v>6.7650000000000002E-2</v>
      </c>
      <c r="I388">
        <f t="shared" ref="I388:I451" si="13">IF(H388&lt;$P$3,$O$3,IF(H388&lt;$P$4,$O$4,IF(H388&lt;$P$5,$O$5,$O$6)))</f>
        <v>1</v>
      </c>
    </row>
    <row r="389" spans="2:9" x14ac:dyDescent="0.25">
      <c r="B389">
        <v>85139</v>
      </c>
      <c r="C389" t="s">
        <v>787</v>
      </c>
      <c r="D389" t="s">
        <v>793</v>
      </c>
      <c r="E389" t="str">
        <f t="shared" si="12"/>
        <v>CASANARE - MANÍ</v>
      </c>
      <c r="F389">
        <v>11121</v>
      </c>
      <c r="G389">
        <v>0.16</v>
      </c>
      <c r="H389">
        <v>9.8400000000000001E-2</v>
      </c>
      <c r="I389">
        <f t="shared" si="13"/>
        <v>1</v>
      </c>
    </row>
    <row r="390" spans="2:9" x14ac:dyDescent="0.25">
      <c r="B390">
        <v>85162</v>
      </c>
      <c r="C390" t="s">
        <v>787</v>
      </c>
      <c r="D390" t="s">
        <v>794</v>
      </c>
      <c r="E390" t="str">
        <f t="shared" si="12"/>
        <v>CASANARE - MONTERREY</v>
      </c>
      <c r="F390">
        <v>15585</v>
      </c>
      <c r="G390">
        <v>5.8</v>
      </c>
      <c r="H390">
        <v>3.5669999999999997</v>
      </c>
      <c r="I390">
        <f t="shared" si="13"/>
        <v>1</v>
      </c>
    </row>
    <row r="391" spans="2:9" x14ac:dyDescent="0.25">
      <c r="B391">
        <v>85225</v>
      </c>
      <c r="C391" t="s">
        <v>787</v>
      </c>
      <c r="D391" t="s">
        <v>795</v>
      </c>
      <c r="E391" t="str">
        <f t="shared" si="12"/>
        <v>CASANARE - NUNCHÍA</v>
      </c>
      <c r="F391">
        <v>8972</v>
      </c>
      <c r="G391">
        <v>1.3</v>
      </c>
      <c r="H391">
        <v>0.79949999999999999</v>
      </c>
      <c r="I391">
        <f t="shared" si="13"/>
        <v>1</v>
      </c>
    </row>
    <row r="392" spans="2:9" x14ac:dyDescent="0.25">
      <c r="B392">
        <v>85230</v>
      </c>
      <c r="C392" t="s">
        <v>787</v>
      </c>
      <c r="D392" t="s">
        <v>796</v>
      </c>
      <c r="E392" t="str">
        <f t="shared" si="12"/>
        <v>CASANARE - OROCUÉ</v>
      </c>
      <c r="F392">
        <v>8460</v>
      </c>
      <c r="G392">
        <v>2.4300000000000002</v>
      </c>
      <c r="H392">
        <v>1.4944500000000001</v>
      </c>
      <c r="I392">
        <f t="shared" si="13"/>
        <v>1</v>
      </c>
    </row>
    <row r="393" spans="2:9" x14ac:dyDescent="0.25">
      <c r="B393">
        <v>85250</v>
      </c>
      <c r="C393" t="s">
        <v>787</v>
      </c>
      <c r="D393" t="s">
        <v>797</v>
      </c>
      <c r="E393" t="str">
        <f t="shared" si="12"/>
        <v>CASANARE - PAZ DE ARIPORO</v>
      </c>
      <c r="F393">
        <v>26237</v>
      </c>
      <c r="G393">
        <v>13.56</v>
      </c>
      <c r="H393">
        <v>8.3393999999999995</v>
      </c>
      <c r="I393">
        <f t="shared" si="13"/>
        <v>1</v>
      </c>
    </row>
    <row r="394" spans="2:9" x14ac:dyDescent="0.25">
      <c r="B394">
        <v>85263</v>
      </c>
      <c r="C394" t="s">
        <v>787</v>
      </c>
      <c r="D394" t="s">
        <v>798</v>
      </c>
      <c r="E394" t="str">
        <f t="shared" si="12"/>
        <v>CASANARE - PORE</v>
      </c>
      <c r="F394">
        <v>7917</v>
      </c>
      <c r="G394">
        <v>3.36</v>
      </c>
      <c r="H394">
        <v>2.0663999999999998</v>
      </c>
      <c r="I394">
        <f t="shared" si="13"/>
        <v>1</v>
      </c>
    </row>
    <row r="395" spans="2:9" x14ac:dyDescent="0.25">
      <c r="B395">
        <v>85279</v>
      </c>
      <c r="C395" t="s">
        <v>787</v>
      </c>
      <c r="D395" t="s">
        <v>799</v>
      </c>
      <c r="E395" t="str">
        <f t="shared" si="12"/>
        <v>CASANARE - RECETOR</v>
      </c>
      <c r="F395">
        <v>4683</v>
      </c>
      <c r="G395">
        <v>0.11</v>
      </c>
      <c r="H395">
        <v>6.7650000000000002E-2</v>
      </c>
      <c r="I395">
        <f t="shared" si="13"/>
        <v>1</v>
      </c>
    </row>
    <row r="396" spans="2:9" x14ac:dyDescent="0.25">
      <c r="B396">
        <v>85300</v>
      </c>
      <c r="C396" t="s">
        <v>787</v>
      </c>
      <c r="D396" t="s">
        <v>503</v>
      </c>
      <c r="E396" t="str">
        <f t="shared" si="12"/>
        <v>CASANARE - SABANALARGA</v>
      </c>
      <c r="F396">
        <v>2806</v>
      </c>
      <c r="G396">
        <v>0.74</v>
      </c>
      <c r="H396">
        <v>0.4551</v>
      </c>
      <c r="I396">
        <f t="shared" si="13"/>
        <v>1</v>
      </c>
    </row>
    <row r="397" spans="2:9" x14ac:dyDescent="0.25">
      <c r="B397">
        <v>85315</v>
      </c>
      <c r="C397" t="s">
        <v>787</v>
      </c>
      <c r="D397" t="s">
        <v>800</v>
      </c>
      <c r="E397" t="str">
        <f t="shared" si="12"/>
        <v>CASANARE - SÁCAMA</v>
      </c>
      <c r="F397">
        <v>2107</v>
      </c>
      <c r="G397">
        <v>0.99</v>
      </c>
      <c r="H397">
        <v>0.60885</v>
      </c>
      <c r="I397">
        <f t="shared" si="13"/>
        <v>1</v>
      </c>
    </row>
    <row r="398" spans="2:9" x14ac:dyDescent="0.25">
      <c r="B398">
        <v>85325</v>
      </c>
      <c r="C398" t="s">
        <v>787</v>
      </c>
      <c r="D398" t="s">
        <v>801</v>
      </c>
      <c r="E398" t="str">
        <f t="shared" si="12"/>
        <v>CASANARE - SAN LUIS DE PALENQUE</v>
      </c>
      <c r="F398">
        <v>7951</v>
      </c>
      <c r="G398">
        <v>1.88</v>
      </c>
      <c r="H398">
        <v>1.1561999999999999</v>
      </c>
      <c r="I398">
        <f t="shared" si="13"/>
        <v>1</v>
      </c>
    </row>
    <row r="399" spans="2:9" x14ac:dyDescent="0.25">
      <c r="B399">
        <v>85400</v>
      </c>
      <c r="C399" t="s">
        <v>787</v>
      </c>
      <c r="D399" t="s">
        <v>802</v>
      </c>
      <c r="E399" t="str">
        <f t="shared" si="12"/>
        <v>CASANARE - TÁMARA</v>
      </c>
      <c r="F399">
        <v>7031</v>
      </c>
      <c r="G399">
        <v>0.56999999999999995</v>
      </c>
      <c r="H399">
        <v>0.35054999999999997</v>
      </c>
      <c r="I399">
        <f t="shared" si="13"/>
        <v>1</v>
      </c>
    </row>
    <row r="400" spans="2:9" x14ac:dyDescent="0.25">
      <c r="B400">
        <v>85410</v>
      </c>
      <c r="C400" t="s">
        <v>787</v>
      </c>
      <c r="D400" t="s">
        <v>803</v>
      </c>
      <c r="E400" t="str">
        <f t="shared" si="12"/>
        <v>CASANARE - TAURAMENA</v>
      </c>
      <c r="F400">
        <v>24747</v>
      </c>
      <c r="G400">
        <v>12.83</v>
      </c>
      <c r="H400">
        <v>7.8904499999999995</v>
      </c>
      <c r="I400">
        <f t="shared" si="13"/>
        <v>1</v>
      </c>
    </row>
    <row r="401" spans="2:9" x14ac:dyDescent="0.25">
      <c r="B401">
        <v>85430</v>
      </c>
      <c r="C401" t="s">
        <v>787</v>
      </c>
      <c r="D401" t="s">
        <v>804</v>
      </c>
      <c r="E401" t="str">
        <f t="shared" si="12"/>
        <v>CASANARE - TRINIDAD</v>
      </c>
      <c r="F401">
        <v>16213</v>
      </c>
      <c r="G401">
        <v>3.1</v>
      </c>
      <c r="H401">
        <v>1.9065000000000001</v>
      </c>
      <c r="I401">
        <f t="shared" si="13"/>
        <v>1</v>
      </c>
    </row>
    <row r="402" spans="2:9" x14ac:dyDescent="0.25">
      <c r="B402">
        <v>85440</v>
      </c>
      <c r="C402" t="s">
        <v>787</v>
      </c>
      <c r="D402" t="s">
        <v>622</v>
      </c>
      <c r="E402" t="str">
        <f t="shared" si="12"/>
        <v>CASANARE - VILLANUEVA</v>
      </c>
      <c r="F402">
        <v>24740</v>
      </c>
      <c r="G402">
        <v>15.78</v>
      </c>
      <c r="H402">
        <v>9.704699999999999</v>
      </c>
      <c r="I402">
        <f t="shared" si="13"/>
        <v>1</v>
      </c>
    </row>
    <row r="403" spans="2:9" x14ac:dyDescent="0.25">
      <c r="B403">
        <v>19001</v>
      </c>
      <c r="C403" t="s">
        <v>805</v>
      </c>
      <c r="D403" t="s">
        <v>806</v>
      </c>
      <c r="E403" t="str">
        <f t="shared" si="12"/>
        <v>CAUCA - POPAYÁN</v>
      </c>
      <c r="F403">
        <v>286724</v>
      </c>
      <c r="G403">
        <v>218.11</v>
      </c>
      <c r="H403">
        <v>134.13765000000001</v>
      </c>
      <c r="I403">
        <f t="shared" si="13"/>
        <v>3</v>
      </c>
    </row>
    <row r="404" spans="2:9" x14ac:dyDescent="0.25">
      <c r="B404">
        <v>19022</v>
      </c>
      <c r="C404" t="s">
        <v>805</v>
      </c>
      <c r="D404" t="s">
        <v>807</v>
      </c>
      <c r="E404" t="str">
        <f t="shared" si="12"/>
        <v>CAUCA - ALMAGUER</v>
      </c>
      <c r="F404">
        <v>21374</v>
      </c>
      <c r="G404">
        <v>0.09</v>
      </c>
      <c r="H404">
        <v>5.5349999999999996E-2</v>
      </c>
      <c r="I404">
        <f t="shared" si="13"/>
        <v>1</v>
      </c>
    </row>
    <row r="405" spans="2:9" x14ac:dyDescent="0.25">
      <c r="B405">
        <v>19050</v>
      </c>
      <c r="C405" t="s">
        <v>805</v>
      </c>
      <c r="D405" t="s">
        <v>432</v>
      </c>
      <c r="E405" t="str">
        <f t="shared" si="12"/>
        <v>CAUCA - ARGELIA</v>
      </c>
      <c r="F405">
        <v>27670</v>
      </c>
      <c r="G405">
        <v>1.37</v>
      </c>
      <c r="H405">
        <v>0.84255000000000002</v>
      </c>
      <c r="I405">
        <f t="shared" si="13"/>
        <v>1</v>
      </c>
    </row>
    <row r="406" spans="2:9" x14ac:dyDescent="0.25">
      <c r="B406">
        <v>19075</v>
      </c>
      <c r="C406" t="s">
        <v>805</v>
      </c>
      <c r="D406" t="s">
        <v>808</v>
      </c>
      <c r="E406" t="str">
        <f t="shared" si="12"/>
        <v>CAUCA - BALBOA</v>
      </c>
      <c r="F406">
        <v>26384</v>
      </c>
      <c r="G406">
        <v>3.34</v>
      </c>
      <c r="H406">
        <v>2.0541</v>
      </c>
      <c r="I406">
        <f t="shared" si="13"/>
        <v>1</v>
      </c>
    </row>
    <row r="407" spans="2:9" x14ac:dyDescent="0.25">
      <c r="B407">
        <v>19100</v>
      </c>
      <c r="C407" t="s">
        <v>805</v>
      </c>
      <c r="D407" t="s">
        <v>577</v>
      </c>
      <c r="E407" t="str">
        <f t="shared" si="12"/>
        <v>CAUCA - BOLÍVAR</v>
      </c>
      <c r="F407">
        <v>44868</v>
      </c>
      <c r="G407">
        <v>2.61</v>
      </c>
      <c r="H407">
        <v>1.6051499999999999</v>
      </c>
      <c r="I407">
        <f t="shared" si="13"/>
        <v>1</v>
      </c>
    </row>
    <row r="408" spans="2:9" x14ac:dyDescent="0.25">
      <c r="B408">
        <v>19110</v>
      </c>
      <c r="C408" t="s">
        <v>805</v>
      </c>
      <c r="D408" t="s">
        <v>809</v>
      </c>
      <c r="E408" t="str">
        <f t="shared" si="12"/>
        <v>CAUCA - BUENOS AIRES</v>
      </c>
      <c r="F408">
        <v>34631</v>
      </c>
      <c r="G408">
        <v>0.45</v>
      </c>
      <c r="H408">
        <v>0.27675</v>
      </c>
      <c r="I408">
        <f t="shared" si="13"/>
        <v>1</v>
      </c>
    </row>
    <row r="409" spans="2:9" x14ac:dyDescent="0.25">
      <c r="B409">
        <v>19130</v>
      </c>
      <c r="C409" t="s">
        <v>805</v>
      </c>
      <c r="D409" t="s">
        <v>810</v>
      </c>
      <c r="E409" t="str">
        <f t="shared" si="12"/>
        <v>CAUCA - CAJIBÍO</v>
      </c>
      <c r="F409">
        <v>38703</v>
      </c>
      <c r="G409">
        <v>1.28</v>
      </c>
      <c r="H409">
        <v>0.78720000000000001</v>
      </c>
      <c r="I409">
        <f t="shared" si="13"/>
        <v>1</v>
      </c>
    </row>
    <row r="410" spans="2:9" x14ac:dyDescent="0.25">
      <c r="B410">
        <v>19137</v>
      </c>
      <c r="C410" t="s">
        <v>805</v>
      </c>
      <c r="D410" t="s">
        <v>811</v>
      </c>
      <c r="E410" t="str">
        <f t="shared" si="12"/>
        <v>CAUCA - CALDONO</v>
      </c>
      <c r="F410">
        <v>34132</v>
      </c>
      <c r="G410">
        <v>1.38</v>
      </c>
      <c r="H410">
        <v>0.8486999999999999</v>
      </c>
      <c r="I410">
        <f t="shared" si="13"/>
        <v>1</v>
      </c>
    </row>
    <row r="411" spans="2:9" x14ac:dyDescent="0.25">
      <c r="B411">
        <v>19142</v>
      </c>
      <c r="C411" t="s">
        <v>805</v>
      </c>
      <c r="D411" t="s">
        <v>812</v>
      </c>
      <c r="E411" t="str">
        <f t="shared" si="12"/>
        <v>CAUCA - CALOTO</v>
      </c>
      <c r="F411">
        <v>17747</v>
      </c>
      <c r="G411">
        <v>3.98</v>
      </c>
      <c r="H411">
        <v>2.4476999999999998</v>
      </c>
      <c r="I411">
        <f t="shared" si="13"/>
        <v>1</v>
      </c>
    </row>
    <row r="412" spans="2:9" x14ac:dyDescent="0.25">
      <c r="B412">
        <v>19212</v>
      </c>
      <c r="C412" t="s">
        <v>805</v>
      </c>
      <c r="D412" t="s">
        <v>813</v>
      </c>
      <c r="E412" t="str">
        <f t="shared" si="12"/>
        <v>CAUCA - CORINTO</v>
      </c>
      <c r="F412">
        <v>33489</v>
      </c>
      <c r="G412">
        <v>4.74</v>
      </c>
      <c r="H412">
        <v>2.9151000000000002</v>
      </c>
      <c r="I412">
        <f t="shared" si="13"/>
        <v>1</v>
      </c>
    </row>
    <row r="413" spans="2:9" x14ac:dyDescent="0.25">
      <c r="B413">
        <v>19256</v>
      </c>
      <c r="C413" t="s">
        <v>805</v>
      </c>
      <c r="D413" t="s">
        <v>814</v>
      </c>
      <c r="E413" t="str">
        <f t="shared" si="12"/>
        <v>CAUCA - EL TAMBO</v>
      </c>
      <c r="F413">
        <v>48094</v>
      </c>
      <c r="G413">
        <v>2.5099999999999998</v>
      </c>
      <c r="H413">
        <v>1.5436499999999997</v>
      </c>
      <c r="I413">
        <f t="shared" si="13"/>
        <v>1</v>
      </c>
    </row>
    <row r="414" spans="2:9" x14ac:dyDescent="0.25">
      <c r="B414">
        <v>19290</v>
      </c>
      <c r="C414" t="s">
        <v>805</v>
      </c>
      <c r="D414" t="s">
        <v>772</v>
      </c>
      <c r="E414" t="str">
        <f t="shared" si="12"/>
        <v>CAUCA - FLORENCIA</v>
      </c>
      <c r="F414">
        <v>6190</v>
      </c>
      <c r="G414">
        <v>0.44</v>
      </c>
      <c r="H414">
        <v>0.27060000000000001</v>
      </c>
      <c r="I414">
        <f t="shared" si="13"/>
        <v>1</v>
      </c>
    </row>
    <row r="415" spans="2:9" x14ac:dyDescent="0.25">
      <c r="B415">
        <v>19300</v>
      </c>
      <c r="C415" t="s">
        <v>805</v>
      </c>
      <c r="D415" t="s">
        <v>815</v>
      </c>
      <c r="E415" t="str">
        <f t="shared" si="12"/>
        <v>CAUCA - GUACHENÉ</v>
      </c>
      <c r="F415">
        <v>19933</v>
      </c>
      <c r="G415">
        <v>3.97</v>
      </c>
      <c r="H415">
        <v>2.4415499999999999</v>
      </c>
      <c r="I415">
        <f t="shared" si="13"/>
        <v>1</v>
      </c>
    </row>
    <row r="416" spans="2:9" x14ac:dyDescent="0.25">
      <c r="B416">
        <v>19318</v>
      </c>
      <c r="C416" t="s">
        <v>805</v>
      </c>
      <c r="D416" t="s">
        <v>816</v>
      </c>
      <c r="E416" t="str">
        <f t="shared" si="12"/>
        <v>CAUCA - GUAPI</v>
      </c>
      <c r="F416">
        <v>29989</v>
      </c>
      <c r="G416">
        <v>6.98</v>
      </c>
      <c r="H416">
        <v>4.2927</v>
      </c>
      <c r="I416">
        <f t="shared" si="13"/>
        <v>1</v>
      </c>
    </row>
    <row r="417" spans="2:9" x14ac:dyDescent="0.25">
      <c r="B417">
        <v>19355</v>
      </c>
      <c r="C417" t="s">
        <v>805</v>
      </c>
      <c r="D417" t="s">
        <v>817</v>
      </c>
      <c r="E417" t="str">
        <f t="shared" si="12"/>
        <v>CAUCA - INZÁ</v>
      </c>
      <c r="F417">
        <v>32582</v>
      </c>
      <c r="G417">
        <v>1.38</v>
      </c>
      <c r="H417">
        <v>0.8486999999999999</v>
      </c>
      <c r="I417">
        <f t="shared" si="13"/>
        <v>1</v>
      </c>
    </row>
    <row r="418" spans="2:9" x14ac:dyDescent="0.25">
      <c r="B418">
        <v>19364</v>
      </c>
      <c r="C418" t="s">
        <v>805</v>
      </c>
      <c r="D418" t="s">
        <v>818</v>
      </c>
      <c r="E418" t="str">
        <f t="shared" si="12"/>
        <v>CAUCA - JAMBALÓ</v>
      </c>
      <c r="F418">
        <v>19018</v>
      </c>
      <c r="G418">
        <v>0.62</v>
      </c>
      <c r="H418">
        <v>0.38129999999999997</v>
      </c>
      <c r="I418">
        <f t="shared" si="13"/>
        <v>1</v>
      </c>
    </row>
    <row r="419" spans="2:9" x14ac:dyDescent="0.25">
      <c r="B419">
        <v>19392</v>
      </c>
      <c r="C419" t="s">
        <v>805</v>
      </c>
      <c r="D419" t="s">
        <v>819</v>
      </c>
      <c r="E419" t="str">
        <f t="shared" si="12"/>
        <v>CAUCA - LA SIERRA</v>
      </c>
      <c r="F419">
        <v>10555</v>
      </c>
      <c r="G419">
        <v>0.68</v>
      </c>
      <c r="H419">
        <v>0.41820000000000002</v>
      </c>
      <c r="I419">
        <f t="shared" si="13"/>
        <v>1</v>
      </c>
    </row>
    <row r="420" spans="2:9" x14ac:dyDescent="0.25">
      <c r="B420">
        <v>19397</v>
      </c>
      <c r="C420" t="s">
        <v>805</v>
      </c>
      <c r="D420" t="s">
        <v>820</v>
      </c>
      <c r="E420" t="str">
        <f t="shared" si="12"/>
        <v>CAUCA - LA VEGA</v>
      </c>
      <c r="F420">
        <v>47417</v>
      </c>
      <c r="G420">
        <v>0.42</v>
      </c>
      <c r="H420">
        <v>0.25829999999999997</v>
      </c>
      <c r="I420">
        <f t="shared" si="13"/>
        <v>1</v>
      </c>
    </row>
    <row r="421" spans="2:9" x14ac:dyDescent="0.25">
      <c r="B421">
        <v>19418</v>
      </c>
      <c r="C421" t="s">
        <v>805</v>
      </c>
      <c r="D421" t="s">
        <v>821</v>
      </c>
      <c r="E421" t="str">
        <f t="shared" si="12"/>
        <v>CAUCA - LÓPEZ DE MICAY</v>
      </c>
      <c r="F421">
        <v>20867</v>
      </c>
      <c r="G421">
        <v>0.98</v>
      </c>
      <c r="H421">
        <v>0.60270000000000001</v>
      </c>
      <c r="I421">
        <f t="shared" si="13"/>
        <v>1</v>
      </c>
    </row>
    <row r="422" spans="2:9" x14ac:dyDescent="0.25">
      <c r="B422">
        <v>19450</v>
      </c>
      <c r="C422" t="s">
        <v>805</v>
      </c>
      <c r="D422" t="s">
        <v>822</v>
      </c>
      <c r="E422" t="str">
        <f t="shared" si="12"/>
        <v>CAUCA - MERCADERES</v>
      </c>
      <c r="F422">
        <v>18247</v>
      </c>
      <c r="G422">
        <v>2.3199999999999998</v>
      </c>
      <c r="H422">
        <v>1.4267999999999998</v>
      </c>
      <c r="I422">
        <f t="shared" si="13"/>
        <v>1</v>
      </c>
    </row>
    <row r="423" spans="2:9" x14ac:dyDescent="0.25">
      <c r="B423">
        <v>19455</v>
      </c>
      <c r="C423" t="s">
        <v>805</v>
      </c>
      <c r="D423" t="s">
        <v>823</v>
      </c>
      <c r="E423" t="str">
        <f t="shared" si="12"/>
        <v>CAUCA - MIRANDA</v>
      </c>
      <c r="F423">
        <v>42639</v>
      </c>
      <c r="G423">
        <v>9.6300000000000008</v>
      </c>
      <c r="H423">
        <v>5.9224500000000004</v>
      </c>
      <c r="I423">
        <f t="shared" si="13"/>
        <v>1</v>
      </c>
    </row>
    <row r="424" spans="2:9" x14ac:dyDescent="0.25">
      <c r="B424">
        <v>19473</v>
      </c>
      <c r="C424" t="s">
        <v>805</v>
      </c>
      <c r="D424" t="s">
        <v>600</v>
      </c>
      <c r="E424" t="str">
        <f t="shared" si="12"/>
        <v>CAUCA - MORALES</v>
      </c>
      <c r="F424">
        <v>26707</v>
      </c>
      <c r="G424">
        <v>1.5</v>
      </c>
      <c r="H424">
        <v>0.92249999999999999</v>
      </c>
      <c r="I424">
        <f t="shared" si="13"/>
        <v>1</v>
      </c>
    </row>
    <row r="425" spans="2:9" x14ac:dyDescent="0.25">
      <c r="B425">
        <v>19513</v>
      </c>
      <c r="C425" t="s">
        <v>805</v>
      </c>
      <c r="D425" t="s">
        <v>824</v>
      </c>
      <c r="E425" t="str">
        <f t="shared" si="12"/>
        <v>CAUCA - PADILLA</v>
      </c>
      <c r="F425">
        <v>7686</v>
      </c>
      <c r="G425">
        <v>1.1599999999999999</v>
      </c>
      <c r="H425">
        <v>0.71339999999999992</v>
      </c>
      <c r="I425">
        <f t="shared" si="13"/>
        <v>1</v>
      </c>
    </row>
    <row r="426" spans="2:9" x14ac:dyDescent="0.25">
      <c r="B426">
        <v>19517</v>
      </c>
      <c r="C426" t="s">
        <v>805</v>
      </c>
      <c r="D426" t="s">
        <v>685</v>
      </c>
      <c r="E426" t="str">
        <f t="shared" si="12"/>
        <v>CAUCA - PÁEZ</v>
      </c>
      <c r="F426">
        <v>36628</v>
      </c>
      <c r="G426">
        <v>0.61</v>
      </c>
      <c r="H426">
        <v>0.37514999999999998</v>
      </c>
      <c r="I426">
        <f t="shared" si="13"/>
        <v>1</v>
      </c>
    </row>
    <row r="427" spans="2:9" x14ac:dyDescent="0.25">
      <c r="B427">
        <v>19532</v>
      </c>
      <c r="C427" t="s">
        <v>805</v>
      </c>
      <c r="D427" t="s">
        <v>825</v>
      </c>
      <c r="E427" t="str">
        <f t="shared" si="12"/>
        <v>CAUCA - PATÍA</v>
      </c>
      <c r="F427">
        <v>37504</v>
      </c>
      <c r="G427">
        <v>8.26</v>
      </c>
      <c r="H427">
        <v>5.0798999999999994</v>
      </c>
      <c r="I427">
        <f t="shared" si="13"/>
        <v>1</v>
      </c>
    </row>
    <row r="428" spans="2:9" x14ac:dyDescent="0.25">
      <c r="B428">
        <v>19533</v>
      </c>
      <c r="C428" t="s">
        <v>805</v>
      </c>
      <c r="D428" t="s">
        <v>826</v>
      </c>
      <c r="E428" t="str">
        <f t="shared" si="12"/>
        <v>CAUCA - PIAMONTE</v>
      </c>
      <c r="F428">
        <v>7470</v>
      </c>
      <c r="G428">
        <v>1.92</v>
      </c>
      <c r="H428">
        <v>1.1807999999999998</v>
      </c>
      <c r="I428">
        <f t="shared" si="13"/>
        <v>1</v>
      </c>
    </row>
    <row r="429" spans="2:9" x14ac:dyDescent="0.25">
      <c r="B429">
        <v>19548</v>
      </c>
      <c r="C429" t="s">
        <v>805</v>
      </c>
      <c r="D429" t="s">
        <v>827</v>
      </c>
      <c r="E429" t="str">
        <f t="shared" si="12"/>
        <v>CAUCA - PIENDAMÓ - TUNÍA</v>
      </c>
      <c r="F429">
        <v>46163</v>
      </c>
      <c r="G429">
        <v>9.56</v>
      </c>
      <c r="H429">
        <v>5.8794000000000004</v>
      </c>
      <c r="I429">
        <f t="shared" si="13"/>
        <v>1</v>
      </c>
    </row>
    <row r="430" spans="2:9" x14ac:dyDescent="0.25">
      <c r="B430">
        <v>19573</v>
      </c>
      <c r="C430" t="s">
        <v>805</v>
      </c>
      <c r="D430" t="s">
        <v>828</v>
      </c>
      <c r="E430" t="str">
        <f t="shared" si="12"/>
        <v>CAUCA - PUERTO TEJADA</v>
      </c>
      <c r="F430">
        <v>46166</v>
      </c>
      <c r="G430">
        <v>29.01</v>
      </c>
      <c r="H430">
        <v>17.841149999999999</v>
      </c>
      <c r="I430">
        <f t="shared" si="13"/>
        <v>2</v>
      </c>
    </row>
    <row r="431" spans="2:9" x14ac:dyDescent="0.25">
      <c r="B431">
        <v>19585</v>
      </c>
      <c r="C431" t="s">
        <v>805</v>
      </c>
      <c r="D431" t="s">
        <v>829</v>
      </c>
      <c r="E431" t="str">
        <f t="shared" si="12"/>
        <v>CAUCA - PURACÉ</v>
      </c>
      <c r="F431">
        <v>15272</v>
      </c>
      <c r="G431">
        <v>0.46</v>
      </c>
      <c r="H431">
        <v>0.28289999999999998</v>
      </c>
      <c r="I431">
        <f t="shared" si="13"/>
        <v>1</v>
      </c>
    </row>
    <row r="432" spans="2:9" x14ac:dyDescent="0.25">
      <c r="B432">
        <v>19622</v>
      </c>
      <c r="C432" t="s">
        <v>805</v>
      </c>
      <c r="D432" t="s">
        <v>830</v>
      </c>
      <c r="E432" t="str">
        <f t="shared" si="12"/>
        <v>CAUCA - ROSAS</v>
      </c>
      <c r="F432">
        <v>13614</v>
      </c>
      <c r="G432">
        <v>1.24</v>
      </c>
      <c r="H432">
        <v>0.76259999999999994</v>
      </c>
      <c r="I432">
        <f t="shared" si="13"/>
        <v>1</v>
      </c>
    </row>
    <row r="433" spans="2:9" x14ac:dyDescent="0.25">
      <c r="B433">
        <v>19693</v>
      </c>
      <c r="C433" t="s">
        <v>805</v>
      </c>
      <c r="D433" t="s">
        <v>831</v>
      </c>
      <c r="E433" t="str">
        <f t="shared" si="12"/>
        <v>CAUCA - SAN SEBASTIÁN</v>
      </c>
      <c r="F433">
        <v>14432</v>
      </c>
      <c r="G433">
        <v>0.48</v>
      </c>
      <c r="H433">
        <v>0.29519999999999996</v>
      </c>
      <c r="I433">
        <f t="shared" si="13"/>
        <v>1</v>
      </c>
    </row>
    <row r="434" spans="2:9" x14ac:dyDescent="0.25">
      <c r="B434">
        <v>19698</v>
      </c>
      <c r="C434" t="s">
        <v>805</v>
      </c>
      <c r="D434" t="s">
        <v>832</v>
      </c>
      <c r="E434" t="str">
        <f t="shared" si="12"/>
        <v>CAUCA - SANTANDER DE QUILICHAO</v>
      </c>
      <c r="F434">
        <v>99354</v>
      </c>
      <c r="G434">
        <v>41.15</v>
      </c>
      <c r="H434">
        <v>25.30725</v>
      </c>
      <c r="I434">
        <f t="shared" si="13"/>
        <v>2</v>
      </c>
    </row>
    <row r="435" spans="2:9" x14ac:dyDescent="0.25">
      <c r="B435">
        <v>19701</v>
      </c>
      <c r="C435" t="s">
        <v>805</v>
      </c>
      <c r="D435" t="s">
        <v>614</v>
      </c>
      <c r="E435" t="str">
        <f t="shared" si="12"/>
        <v>CAUCA - SANTA ROSA</v>
      </c>
      <c r="F435">
        <v>10872</v>
      </c>
      <c r="G435">
        <v>0.24</v>
      </c>
      <c r="H435">
        <v>0.14759999999999998</v>
      </c>
      <c r="I435">
        <f t="shared" si="13"/>
        <v>1</v>
      </c>
    </row>
    <row r="436" spans="2:9" x14ac:dyDescent="0.25">
      <c r="B436">
        <v>19743</v>
      </c>
      <c r="C436" t="s">
        <v>805</v>
      </c>
      <c r="D436" t="s">
        <v>833</v>
      </c>
      <c r="E436" t="str">
        <f t="shared" si="12"/>
        <v>CAUCA - SILVIA</v>
      </c>
      <c r="F436">
        <v>32692</v>
      </c>
      <c r="G436">
        <v>2.44</v>
      </c>
      <c r="H436">
        <v>1.5005999999999999</v>
      </c>
      <c r="I436">
        <f t="shared" si="13"/>
        <v>1</v>
      </c>
    </row>
    <row r="437" spans="2:9" x14ac:dyDescent="0.25">
      <c r="B437">
        <v>19760</v>
      </c>
      <c r="C437" t="s">
        <v>805</v>
      </c>
      <c r="D437" t="s">
        <v>834</v>
      </c>
      <c r="E437" t="str">
        <f t="shared" si="12"/>
        <v>CAUCA - SOTARÁ PAISPAMBA</v>
      </c>
      <c r="F437">
        <v>17552</v>
      </c>
      <c r="G437">
        <v>0.16</v>
      </c>
      <c r="H437">
        <v>9.8400000000000001E-2</v>
      </c>
      <c r="I437">
        <f t="shared" si="13"/>
        <v>1</v>
      </c>
    </row>
    <row r="438" spans="2:9" x14ac:dyDescent="0.25">
      <c r="B438">
        <v>19780</v>
      </c>
      <c r="C438" t="s">
        <v>805</v>
      </c>
      <c r="D438" t="s">
        <v>835</v>
      </c>
      <c r="E438" t="str">
        <f t="shared" si="12"/>
        <v>CAUCA - SUÁREZ</v>
      </c>
      <c r="F438">
        <v>18404</v>
      </c>
      <c r="G438">
        <v>2.23</v>
      </c>
      <c r="H438">
        <v>1.3714500000000001</v>
      </c>
      <c r="I438">
        <f t="shared" si="13"/>
        <v>1</v>
      </c>
    </row>
    <row r="439" spans="2:9" x14ac:dyDescent="0.25">
      <c r="B439">
        <v>19785</v>
      </c>
      <c r="C439" t="s">
        <v>805</v>
      </c>
      <c r="D439" t="s">
        <v>836</v>
      </c>
      <c r="E439" t="str">
        <f t="shared" si="12"/>
        <v>CAUCA - SUCRE</v>
      </c>
      <c r="F439">
        <v>8867</v>
      </c>
      <c r="G439">
        <v>0.56000000000000005</v>
      </c>
      <c r="H439">
        <v>0.34440000000000004</v>
      </c>
      <c r="I439">
        <f t="shared" si="13"/>
        <v>1</v>
      </c>
    </row>
    <row r="440" spans="2:9" x14ac:dyDescent="0.25">
      <c r="B440">
        <v>19807</v>
      </c>
      <c r="C440" t="s">
        <v>805</v>
      </c>
      <c r="D440" t="s">
        <v>837</v>
      </c>
      <c r="E440" t="str">
        <f t="shared" si="12"/>
        <v>CAUCA - TIMBÍO</v>
      </c>
      <c r="F440">
        <v>35564</v>
      </c>
      <c r="G440">
        <v>6.41</v>
      </c>
      <c r="H440">
        <v>3.9421499999999998</v>
      </c>
      <c r="I440">
        <f t="shared" si="13"/>
        <v>1</v>
      </c>
    </row>
    <row r="441" spans="2:9" x14ac:dyDescent="0.25">
      <c r="B441">
        <v>19809</v>
      </c>
      <c r="C441" t="s">
        <v>805</v>
      </c>
      <c r="D441" t="s">
        <v>838</v>
      </c>
      <c r="E441" t="str">
        <f t="shared" si="12"/>
        <v>CAUCA - TIMBIQUÍ</v>
      </c>
      <c r="F441">
        <v>22077</v>
      </c>
      <c r="G441">
        <v>1.81</v>
      </c>
      <c r="H441">
        <v>1.1131500000000001</v>
      </c>
      <c r="I441">
        <f t="shared" si="13"/>
        <v>1</v>
      </c>
    </row>
    <row r="442" spans="2:9" x14ac:dyDescent="0.25">
      <c r="B442">
        <v>19821</v>
      </c>
      <c r="C442" t="s">
        <v>805</v>
      </c>
      <c r="D442" t="s">
        <v>839</v>
      </c>
      <c r="E442" t="str">
        <f t="shared" si="12"/>
        <v>CAUCA - TORIBÍO</v>
      </c>
      <c r="F442">
        <v>30397</v>
      </c>
      <c r="G442">
        <v>0.65</v>
      </c>
      <c r="H442">
        <v>0.39974999999999999</v>
      </c>
      <c r="I442">
        <f t="shared" si="13"/>
        <v>1</v>
      </c>
    </row>
    <row r="443" spans="2:9" x14ac:dyDescent="0.25">
      <c r="B443">
        <v>19824</v>
      </c>
      <c r="C443" t="s">
        <v>805</v>
      </c>
      <c r="D443" t="s">
        <v>840</v>
      </c>
      <c r="E443" t="str">
        <f t="shared" si="12"/>
        <v>CAUCA - TOTORÓ</v>
      </c>
      <c r="F443">
        <v>21298</v>
      </c>
      <c r="G443">
        <v>0.25</v>
      </c>
      <c r="H443">
        <v>0.15375</v>
      </c>
      <c r="I443">
        <f t="shared" si="13"/>
        <v>1</v>
      </c>
    </row>
    <row r="444" spans="2:9" x14ac:dyDescent="0.25">
      <c r="B444">
        <v>19845</v>
      </c>
      <c r="C444" t="s">
        <v>805</v>
      </c>
      <c r="D444" t="s">
        <v>841</v>
      </c>
      <c r="E444" t="str">
        <f t="shared" si="12"/>
        <v>CAUCA - VILLA RICA</v>
      </c>
      <c r="F444">
        <v>16966</v>
      </c>
      <c r="G444">
        <v>8.1199999999999992</v>
      </c>
      <c r="H444">
        <v>4.9937999999999994</v>
      </c>
      <c r="I444">
        <f t="shared" si="13"/>
        <v>1</v>
      </c>
    </row>
    <row r="445" spans="2:9" x14ac:dyDescent="0.25">
      <c r="B445">
        <v>20001</v>
      </c>
      <c r="C445" t="s">
        <v>842</v>
      </c>
      <c r="D445" t="s">
        <v>843</v>
      </c>
      <c r="E445" t="str">
        <f t="shared" si="12"/>
        <v>CESAR - VALLEDUPAR</v>
      </c>
      <c r="F445">
        <v>493367</v>
      </c>
      <c r="G445">
        <v>386.34</v>
      </c>
      <c r="H445">
        <v>237.59909999999999</v>
      </c>
      <c r="I445">
        <f t="shared" si="13"/>
        <v>3</v>
      </c>
    </row>
    <row r="446" spans="2:9" x14ac:dyDescent="0.25">
      <c r="B446">
        <v>20011</v>
      </c>
      <c r="C446" t="s">
        <v>842</v>
      </c>
      <c r="D446" t="s">
        <v>844</v>
      </c>
      <c r="E446" t="str">
        <f t="shared" si="12"/>
        <v>CESAR - AGUACHICA</v>
      </c>
      <c r="F446">
        <v>96667</v>
      </c>
      <c r="G446">
        <v>78.38</v>
      </c>
      <c r="H446">
        <v>48.203699999999998</v>
      </c>
      <c r="I446">
        <f t="shared" si="13"/>
        <v>2</v>
      </c>
    </row>
    <row r="447" spans="2:9" x14ac:dyDescent="0.25">
      <c r="B447">
        <v>20013</v>
      </c>
      <c r="C447" t="s">
        <v>842</v>
      </c>
      <c r="D447" t="s">
        <v>845</v>
      </c>
      <c r="E447" t="str">
        <f t="shared" si="12"/>
        <v>CESAR - AGUSTÍN CODAZZI</v>
      </c>
      <c r="F447">
        <v>49233</v>
      </c>
      <c r="G447">
        <v>29.83</v>
      </c>
      <c r="H447">
        <v>18.34545</v>
      </c>
      <c r="I447">
        <f t="shared" si="13"/>
        <v>2</v>
      </c>
    </row>
    <row r="448" spans="2:9" x14ac:dyDescent="0.25">
      <c r="B448">
        <v>20032</v>
      </c>
      <c r="C448" t="s">
        <v>842</v>
      </c>
      <c r="D448" t="s">
        <v>846</v>
      </c>
      <c r="E448" t="str">
        <f t="shared" si="12"/>
        <v>CESAR - ASTREA</v>
      </c>
      <c r="F448">
        <v>19389</v>
      </c>
      <c r="G448">
        <v>9.1999999999999993</v>
      </c>
      <c r="H448">
        <v>5.6579999999999995</v>
      </c>
      <c r="I448">
        <f t="shared" si="13"/>
        <v>1</v>
      </c>
    </row>
    <row r="449" spans="2:9" x14ac:dyDescent="0.25">
      <c r="B449">
        <v>20045</v>
      </c>
      <c r="C449" t="s">
        <v>842</v>
      </c>
      <c r="D449" t="s">
        <v>847</v>
      </c>
      <c r="E449" t="str">
        <f t="shared" si="12"/>
        <v>CESAR - BECERRIL</v>
      </c>
      <c r="F449">
        <v>13188</v>
      </c>
      <c r="G449">
        <v>11.22</v>
      </c>
      <c r="H449">
        <v>6.9003000000000005</v>
      </c>
      <c r="I449">
        <f t="shared" si="13"/>
        <v>1</v>
      </c>
    </row>
    <row r="450" spans="2:9" x14ac:dyDescent="0.25">
      <c r="B450">
        <v>20060</v>
      </c>
      <c r="C450" t="s">
        <v>842</v>
      </c>
      <c r="D450" t="s">
        <v>848</v>
      </c>
      <c r="E450" t="str">
        <f t="shared" si="12"/>
        <v>CESAR - BOSCONIA</v>
      </c>
      <c r="F450">
        <v>39716</v>
      </c>
      <c r="G450">
        <v>30.29</v>
      </c>
      <c r="H450">
        <v>18.628349999999998</v>
      </c>
      <c r="I450">
        <f t="shared" si="13"/>
        <v>2</v>
      </c>
    </row>
    <row r="451" spans="2:9" x14ac:dyDescent="0.25">
      <c r="B451">
        <v>20175</v>
      </c>
      <c r="C451" t="s">
        <v>842</v>
      </c>
      <c r="D451" t="s">
        <v>849</v>
      </c>
      <c r="E451" t="str">
        <f t="shared" si="12"/>
        <v>CESAR - CHIMICHAGUA</v>
      </c>
      <c r="F451">
        <v>30303</v>
      </c>
      <c r="G451">
        <v>0.93</v>
      </c>
      <c r="H451">
        <v>0.57195000000000007</v>
      </c>
      <c r="I451">
        <f t="shared" si="13"/>
        <v>1</v>
      </c>
    </row>
    <row r="452" spans="2:9" x14ac:dyDescent="0.25">
      <c r="B452">
        <v>20178</v>
      </c>
      <c r="C452" t="s">
        <v>842</v>
      </c>
      <c r="D452" t="s">
        <v>850</v>
      </c>
      <c r="E452" t="str">
        <f t="shared" ref="E452:E515" si="14">C452&amp;" - "&amp;D452</f>
        <v>CESAR - CHIRIGUANÁ</v>
      </c>
      <c r="F452">
        <v>18574</v>
      </c>
      <c r="G452">
        <v>8.61</v>
      </c>
      <c r="H452">
        <v>5.2951499999999996</v>
      </c>
      <c r="I452">
        <f t="shared" ref="I452:I515" si="15">IF(H452&lt;$P$3,$O$3,IF(H452&lt;$P$4,$O$4,IF(H452&lt;$P$5,$O$5,$O$6)))</f>
        <v>1</v>
      </c>
    </row>
    <row r="453" spans="2:9" x14ac:dyDescent="0.25">
      <c r="B453">
        <v>20228</v>
      </c>
      <c r="C453" t="s">
        <v>842</v>
      </c>
      <c r="D453" t="s">
        <v>851</v>
      </c>
      <c r="E453" t="str">
        <f t="shared" si="14"/>
        <v>CESAR - CURUMANÍ</v>
      </c>
      <c r="F453">
        <v>23018</v>
      </c>
      <c r="G453">
        <v>18.84</v>
      </c>
      <c r="H453">
        <v>11.586599999999999</v>
      </c>
      <c r="I453">
        <f t="shared" si="15"/>
        <v>2</v>
      </c>
    </row>
    <row r="454" spans="2:9" x14ac:dyDescent="0.25">
      <c r="B454">
        <v>20238</v>
      </c>
      <c r="C454" t="s">
        <v>842</v>
      </c>
      <c r="D454" t="s">
        <v>852</v>
      </c>
      <c r="E454" t="str">
        <f t="shared" si="14"/>
        <v>CESAR - EL COPEY</v>
      </c>
      <c r="F454">
        <v>26905</v>
      </c>
      <c r="G454">
        <v>15.37</v>
      </c>
      <c r="H454">
        <v>9.4525499999999987</v>
      </c>
      <c r="I454">
        <f t="shared" si="15"/>
        <v>1</v>
      </c>
    </row>
    <row r="455" spans="2:9" x14ac:dyDescent="0.25">
      <c r="B455">
        <v>20250</v>
      </c>
      <c r="C455" t="s">
        <v>842</v>
      </c>
      <c r="D455" t="s">
        <v>853</v>
      </c>
      <c r="E455" t="str">
        <f t="shared" si="14"/>
        <v>CESAR - EL PASO</v>
      </c>
      <c r="F455">
        <v>23534</v>
      </c>
      <c r="G455">
        <v>15.27</v>
      </c>
      <c r="H455">
        <v>9.3910499999999999</v>
      </c>
      <c r="I455">
        <f t="shared" si="15"/>
        <v>1</v>
      </c>
    </row>
    <row r="456" spans="2:9" x14ac:dyDescent="0.25">
      <c r="B456">
        <v>20295</v>
      </c>
      <c r="C456" t="s">
        <v>842</v>
      </c>
      <c r="D456" t="s">
        <v>854</v>
      </c>
      <c r="E456" t="str">
        <f t="shared" si="14"/>
        <v>CESAR - GAMARRA</v>
      </c>
      <c r="F456">
        <v>17483</v>
      </c>
      <c r="G456">
        <v>3.01</v>
      </c>
      <c r="H456">
        <v>1.8511499999999999</v>
      </c>
      <c r="I456">
        <f t="shared" si="15"/>
        <v>1</v>
      </c>
    </row>
    <row r="457" spans="2:9" x14ac:dyDescent="0.25">
      <c r="B457">
        <v>20310</v>
      </c>
      <c r="C457" t="s">
        <v>842</v>
      </c>
      <c r="D457" t="s">
        <v>855</v>
      </c>
      <c r="E457" t="str">
        <f t="shared" si="14"/>
        <v>CESAR - GONZÁLEZ</v>
      </c>
      <c r="F457">
        <v>6204</v>
      </c>
      <c r="G457">
        <v>0.71</v>
      </c>
      <c r="H457">
        <v>0.43664999999999998</v>
      </c>
      <c r="I457">
        <f t="shared" si="15"/>
        <v>1</v>
      </c>
    </row>
    <row r="458" spans="2:9" x14ac:dyDescent="0.25">
      <c r="B458">
        <v>20383</v>
      </c>
      <c r="C458" t="s">
        <v>842</v>
      </c>
      <c r="D458" t="s">
        <v>856</v>
      </c>
      <c r="E458" t="str">
        <f t="shared" si="14"/>
        <v>CESAR - LA GLORIA</v>
      </c>
      <c r="F458">
        <v>12230</v>
      </c>
      <c r="G458">
        <v>5.08</v>
      </c>
      <c r="H458">
        <v>3.1242000000000001</v>
      </c>
      <c r="I458">
        <f t="shared" si="15"/>
        <v>1</v>
      </c>
    </row>
    <row r="459" spans="2:9" x14ac:dyDescent="0.25">
      <c r="B459">
        <v>20400</v>
      </c>
      <c r="C459" t="s">
        <v>842</v>
      </c>
      <c r="D459" t="s">
        <v>857</v>
      </c>
      <c r="E459" t="str">
        <f t="shared" si="14"/>
        <v>CESAR - LA JAGUA DE IBIRICO</v>
      </c>
      <c r="F459">
        <v>22405</v>
      </c>
      <c r="G459">
        <v>24.49</v>
      </c>
      <c r="H459">
        <v>15.061349999999999</v>
      </c>
      <c r="I459">
        <f t="shared" si="15"/>
        <v>2</v>
      </c>
    </row>
    <row r="460" spans="2:9" x14ac:dyDescent="0.25">
      <c r="B460">
        <v>20443</v>
      </c>
      <c r="C460" t="s">
        <v>842</v>
      </c>
      <c r="D460" t="s">
        <v>858</v>
      </c>
      <c r="E460" t="str">
        <f t="shared" si="14"/>
        <v>CESAR - MANAURE BALCÓN DEL CESAR</v>
      </c>
      <c r="F460">
        <v>15905</v>
      </c>
      <c r="G460">
        <v>4.4000000000000004</v>
      </c>
      <c r="H460">
        <v>2.706</v>
      </c>
      <c r="I460">
        <f t="shared" si="15"/>
        <v>1</v>
      </c>
    </row>
    <row r="461" spans="2:9" x14ac:dyDescent="0.25">
      <c r="B461">
        <v>20517</v>
      </c>
      <c r="C461" t="s">
        <v>842</v>
      </c>
      <c r="D461" t="s">
        <v>859</v>
      </c>
      <c r="E461" t="str">
        <f t="shared" si="14"/>
        <v>CESAR - PAILITAS</v>
      </c>
      <c r="F461">
        <v>17545</v>
      </c>
      <c r="G461">
        <v>5.78</v>
      </c>
      <c r="H461">
        <v>3.5547</v>
      </c>
      <c r="I461">
        <f t="shared" si="15"/>
        <v>1</v>
      </c>
    </row>
    <row r="462" spans="2:9" x14ac:dyDescent="0.25">
      <c r="B462">
        <v>20550</v>
      </c>
      <c r="C462" t="s">
        <v>842</v>
      </c>
      <c r="D462" t="s">
        <v>860</v>
      </c>
      <c r="E462" t="str">
        <f t="shared" si="14"/>
        <v>CESAR - PELAYA</v>
      </c>
      <c r="F462">
        <v>18334</v>
      </c>
      <c r="G462">
        <v>10.15</v>
      </c>
      <c r="H462">
        <v>6.2422500000000003</v>
      </c>
      <c r="I462">
        <f t="shared" si="15"/>
        <v>1</v>
      </c>
    </row>
    <row r="463" spans="2:9" x14ac:dyDescent="0.25">
      <c r="B463">
        <v>20570</v>
      </c>
      <c r="C463" t="s">
        <v>842</v>
      </c>
      <c r="D463" t="s">
        <v>861</v>
      </c>
      <c r="E463" t="str">
        <f t="shared" si="14"/>
        <v>CESAR - PUEBLO BELLO</v>
      </c>
      <c r="F463">
        <v>24572</v>
      </c>
      <c r="G463">
        <v>4.75</v>
      </c>
      <c r="H463">
        <v>2.9212500000000001</v>
      </c>
      <c r="I463">
        <f t="shared" si="15"/>
        <v>1</v>
      </c>
    </row>
    <row r="464" spans="2:9" x14ac:dyDescent="0.25">
      <c r="B464">
        <v>20614</v>
      </c>
      <c r="C464" t="s">
        <v>842</v>
      </c>
      <c r="D464" t="s">
        <v>862</v>
      </c>
      <c r="E464" t="str">
        <f t="shared" si="14"/>
        <v>CESAR - RÍO DE ORO</v>
      </c>
      <c r="F464">
        <v>13845</v>
      </c>
      <c r="G464">
        <v>3.19</v>
      </c>
      <c r="H464">
        <v>1.9618499999999999</v>
      </c>
      <c r="I464">
        <f t="shared" si="15"/>
        <v>1</v>
      </c>
    </row>
    <row r="465" spans="2:9" x14ac:dyDescent="0.25">
      <c r="B465">
        <v>20621</v>
      </c>
      <c r="C465" t="s">
        <v>842</v>
      </c>
      <c r="D465" t="s">
        <v>863</v>
      </c>
      <c r="E465" t="str">
        <f t="shared" si="14"/>
        <v>CESAR - LA PAZ</v>
      </c>
      <c r="F465">
        <v>23025</v>
      </c>
      <c r="G465">
        <v>12.96</v>
      </c>
      <c r="H465">
        <v>7.9704000000000006</v>
      </c>
      <c r="I465">
        <f t="shared" si="15"/>
        <v>1</v>
      </c>
    </row>
    <row r="466" spans="2:9" x14ac:dyDescent="0.25">
      <c r="B466">
        <v>20710</v>
      </c>
      <c r="C466" t="s">
        <v>842</v>
      </c>
      <c r="D466" t="s">
        <v>864</v>
      </c>
      <c r="E466" t="str">
        <f t="shared" si="14"/>
        <v>CESAR - SAN ALBERTO</v>
      </c>
      <c r="F466">
        <v>26551</v>
      </c>
      <c r="G466">
        <v>13.32</v>
      </c>
      <c r="H466">
        <v>8.1918000000000006</v>
      </c>
      <c r="I466">
        <f t="shared" si="15"/>
        <v>1</v>
      </c>
    </row>
    <row r="467" spans="2:9" x14ac:dyDescent="0.25">
      <c r="B467">
        <v>20750</v>
      </c>
      <c r="C467" t="s">
        <v>842</v>
      </c>
      <c r="D467" t="s">
        <v>865</v>
      </c>
      <c r="E467" t="str">
        <f t="shared" si="14"/>
        <v>CESAR - SAN DIEGO</v>
      </c>
      <c r="F467">
        <v>13147</v>
      </c>
      <c r="G467">
        <v>6.47</v>
      </c>
      <c r="H467">
        <v>3.97905</v>
      </c>
      <c r="I467">
        <f t="shared" si="15"/>
        <v>1</v>
      </c>
    </row>
    <row r="468" spans="2:9" x14ac:dyDescent="0.25">
      <c r="B468">
        <v>20770</v>
      </c>
      <c r="C468" t="s">
        <v>842</v>
      </c>
      <c r="D468" t="s">
        <v>866</v>
      </c>
      <c r="E468" t="str">
        <f t="shared" si="14"/>
        <v>CESAR - SAN MARTÍN</v>
      </c>
      <c r="F468">
        <v>18930</v>
      </c>
      <c r="G468">
        <v>10.59</v>
      </c>
      <c r="H468">
        <v>6.5128500000000003</v>
      </c>
      <c r="I468">
        <f t="shared" si="15"/>
        <v>1</v>
      </c>
    </row>
    <row r="469" spans="2:9" x14ac:dyDescent="0.25">
      <c r="B469">
        <v>20787</v>
      </c>
      <c r="C469" t="s">
        <v>842</v>
      </c>
      <c r="D469" t="s">
        <v>867</v>
      </c>
      <c r="E469" t="str">
        <f t="shared" si="14"/>
        <v>CESAR - TAMALAMEQUE</v>
      </c>
      <c r="F469">
        <v>13700</v>
      </c>
      <c r="G469">
        <v>2.19</v>
      </c>
      <c r="H469">
        <v>1.3468499999999999</v>
      </c>
      <c r="I469">
        <f t="shared" si="15"/>
        <v>1</v>
      </c>
    </row>
    <row r="470" spans="2:9" x14ac:dyDescent="0.25">
      <c r="B470">
        <v>27001</v>
      </c>
      <c r="C470" t="s">
        <v>868</v>
      </c>
      <c r="D470" t="s">
        <v>869</v>
      </c>
      <c r="E470" t="str">
        <f t="shared" si="14"/>
        <v>CHOCÓ - QUIBDÓ</v>
      </c>
      <c r="F470">
        <v>116256</v>
      </c>
      <c r="G470">
        <v>74.91</v>
      </c>
      <c r="H470">
        <v>46.069649999999996</v>
      </c>
      <c r="I470">
        <f t="shared" si="15"/>
        <v>2</v>
      </c>
    </row>
    <row r="471" spans="2:9" x14ac:dyDescent="0.25">
      <c r="B471">
        <v>27006</v>
      </c>
      <c r="C471" t="s">
        <v>868</v>
      </c>
      <c r="D471" t="s">
        <v>870</v>
      </c>
      <c r="E471" t="str">
        <f t="shared" si="14"/>
        <v>CHOCÓ - ACANDÍ</v>
      </c>
      <c r="F471">
        <v>9248</v>
      </c>
      <c r="G471">
        <v>2.2400000000000002</v>
      </c>
      <c r="H471">
        <v>1.3776000000000002</v>
      </c>
      <c r="I471">
        <f t="shared" si="15"/>
        <v>1</v>
      </c>
    </row>
    <row r="472" spans="2:9" x14ac:dyDescent="0.25">
      <c r="B472">
        <v>27025</v>
      </c>
      <c r="C472" t="s">
        <v>868</v>
      </c>
      <c r="D472" t="s">
        <v>871</v>
      </c>
      <c r="E472" t="str">
        <f t="shared" si="14"/>
        <v>CHOCÓ - ALTO BAUDÓ</v>
      </c>
      <c r="F472">
        <v>40733</v>
      </c>
      <c r="G472">
        <v>5.79</v>
      </c>
      <c r="H472">
        <v>3.5608499999999998</v>
      </c>
      <c r="I472">
        <f t="shared" si="15"/>
        <v>1</v>
      </c>
    </row>
    <row r="473" spans="2:9" x14ac:dyDescent="0.25">
      <c r="B473">
        <v>27050</v>
      </c>
      <c r="C473" t="s">
        <v>868</v>
      </c>
      <c r="D473" t="s">
        <v>872</v>
      </c>
      <c r="E473" t="str">
        <f t="shared" si="14"/>
        <v>CHOCÓ - ATRATO</v>
      </c>
      <c r="F473">
        <v>11045</v>
      </c>
      <c r="G473">
        <v>24.96</v>
      </c>
      <c r="H473">
        <v>15.3504</v>
      </c>
      <c r="I473">
        <f t="shared" si="15"/>
        <v>2</v>
      </c>
    </row>
    <row r="474" spans="2:9" x14ac:dyDescent="0.25">
      <c r="B474">
        <v>27073</v>
      </c>
      <c r="C474" t="s">
        <v>868</v>
      </c>
      <c r="D474" t="s">
        <v>873</v>
      </c>
      <c r="E474" t="str">
        <f t="shared" si="14"/>
        <v>CHOCÓ - BAGADÓ</v>
      </c>
      <c r="F474">
        <v>7895</v>
      </c>
      <c r="G474">
        <v>0.77</v>
      </c>
      <c r="H474">
        <v>0.47355000000000003</v>
      </c>
      <c r="I474">
        <f t="shared" si="15"/>
        <v>1</v>
      </c>
    </row>
    <row r="475" spans="2:9" x14ac:dyDescent="0.25">
      <c r="B475">
        <v>27075</v>
      </c>
      <c r="C475" t="s">
        <v>868</v>
      </c>
      <c r="D475" t="s">
        <v>874</v>
      </c>
      <c r="E475" t="str">
        <f t="shared" si="14"/>
        <v>CHOCÓ - BAHÍA SOLANO</v>
      </c>
      <c r="F475">
        <v>9425</v>
      </c>
      <c r="G475">
        <v>0.31</v>
      </c>
      <c r="H475">
        <v>0.19064999999999999</v>
      </c>
      <c r="I475">
        <f t="shared" si="15"/>
        <v>1</v>
      </c>
    </row>
    <row r="476" spans="2:9" x14ac:dyDescent="0.25">
      <c r="B476">
        <v>27077</v>
      </c>
      <c r="C476" t="s">
        <v>868</v>
      </c>
      <c r="D476" t="s">
        <v>875</v>
      </c>
      <c r="E476" t="str">
        <f t="shared" si="14"/>
        <v>CHOCÓ - BAJO BAUDÓ</v>
      </c>
      <c r="F476">
        <v>17836</v>
      </c>
      <c r="G476">
        <v>0.86</v>
      </c>
      <c r="H476">
        <v>0.52890000000000004</v>
      </c>
      <c r="I476">
        <f t="shared" si="15"/>
        <v>1</v>
      </c>
    </row>
    <row r="477" spans="2:9" x14ac:dyDescent="0.25">
      <c r="B477">
        <v>27099</v>
      </c>
      <c r="C477" t="s">
        <v>868</v>
      </c>
      <c r="D477" t="s">
        <v>876</v>
      </c>
      <c r="E477" t="str">
        <f t="shared" si="14"/>
        <v>CHOCÓ - BOJAYÁ</v>
      </c>
      <c r="F477">
        <v>10123</v>
      </c>
      <c r="G477">
        <v>3.39</v>
      </c>
      <c r="H477">
        <v>2.0848499999999999</v>
      </c>
      <c r="I477">
        <f t="shared" si="15"/>
        <v>1</v>
      </c>
    </row>
    <row r="478" spans="2:9" x14ac:dyDescent="0.25">
      <c r="B478">
        <v>27135</v>
      </c>
      <c r="C478" t="s">
        <v>868</v>
      </c>
      <c r="D478" t="s">
        <v>877</v>
      </c>
      <c r="E478" t="str">
        <f t="shared" si="14"/>
        <v>CHOCÓ - EL CANTÓN DEL SAN PABLO</v>
      </c>
      <c r="F478">
        <v>8798</v>
      </c>
      <c r="G478">
        <v>1.26</v>
      </c>
      <c r="H478">
        <v>0.77490000000000003</v>
      </c>
      <c r="I478">
        <f t="shared" si="15"/>
        <v>1</v>
      </c>
    </row>
    <row r="479" spans="2:9" x14ac:dyDescent="0.25">
      <c r="B479">
        <v>27150</v>
      </c>
      <c r="C479" t="s">
        <v>868</v>
      </c>
      <c r="D479" t="s">
        <v>878</v>
      </c>
      <c r="E479" t="str">
        <f t="shared" si="14"/>
        <v>CHOCÓ - CARMEN DEL DARIÉN</v>
      </c>
      <c r="F479">
        <v>5583</v>
      </c>
      <c r="G479">
        <v>0.38</v>
      </c>
      <c r="H479">
        <v>0.23369999999999999</v>
      </c>
      <c r="I479">
        <f t="shared" si="15"/>
        <v>1</v>
      </c>
    </row>
    <row r="480" spans="2:9" x14ac:dyDescent="0.25">
      <c r="B480">
        <v>27160</v>
      </c>
      <c r="C480" t="s">
        <v>868</v>
      </c>
      <c r="D480" t="s">
        <v>879</v>
      </c>
      <c r="E480" t="str">
        <f t="shared" si="14"/>
        <v>CHOCÓ - CÉRTEGUI</v>
      </c>
      <c r="F480">
        <v>10234</v>
      </c>
      <c r="G480">
        <v>1.03</v>
      </c>
      <c r="H480">
        <v>0.63344999999999996</v>
      </c>
      <c r="I480">
        <f t="shared" si="15"/>
        <v>1</v>
      </c>
    </row>
    <row r="481" spans="2:9" x14ac:dyDescent="0.25">
      <c r="B481">
        <v>27205</v>
      </c>
      <c r="C481" t="s">
        <v>868</v>
      </c>
      <c r="D481" t="s">
        <v>880</v>
      </c>
      <c r="E481" t="str">
        <f t="shared" si="14"/>
        <v>CHOCÓ - CONDOTO</v>
      </c>
      <c r="F481">
        <v>15334</v>
      </c>
      <c r="G481">
        <v>4.67</v>
      </c>
      <c r="H481">
        <v>2.8720499999999998</v>
      </c>
      <c r="I481">
        <f t="shared" si="15"/>
        <v>1</v>
      </c>
    </row>
    <row r="482" spans="2:9" x14ac:dyDescent="0.25">
      <c r="B482">
        <v>27245</v>
      </c>
      <c r="C482" t="s">
        <v>868</v>
      </c>
      <c r="D482" t="s">
        <v>881</v>
      </c>
      <c r="E482" t="str">
        <f t="shared" si="14"/>
        <v>CHOCÓ - EL CARMEN DE ATRATO</v>
      </c>
      <c r="F482">
        <v>15015</v>
      </c>
      <c r="G482">
        <v>1.87</v>
      </c>
      <c r="H482">
        <v>1.15005</v>
      </c>
      <c r="I482">
        <f t="shared" si="15"/>
        <v>1</v>
      </c>
    </row>
    <row r="483" spans="2:9" x14ac:dyDescent="0.25">
      <c r="B483">
        <v>27250</v>
      </c>
      <c r="C483" t="s">
        <v>868</v>
      </c>
      <c r="D483" t="s">
        <v>882</v>
      </c>
      <c r="E483" t="str">
        <f t="shared" si="14"/>
        <v>CHOCÓ - EL LITORAL DEL SAN JUAN</v>
      </c>
      <c r="F483">
        <v>16829</v>
      </c>
      <c r="G483">
        <v>0.59</v>
      </c>
      <c r="H483">
        <v>0.36284999999999995</v>
      </c>
      <c r="I483">
        <f t="shared" si="15"/>
        <v>1</v>
      </c>
    </row>
    <row r="484" spans="2:9" x14ac:dyDescent="0.25">
      <c r="B484">
        <v>27361</v>
      </c>
      <c r="C484" t="s">
        <v>868</v>
      </c>
      <c r="D484" t="s">
        <v>883</v>
      </c>
      <c r="E484" t="str">
        <f t="shared" si="14"/>
        <v>CHOCÓ - ISTMINA</v>
      </c>
      <c r="F484">
        <v>25981</v>
      </c>
      <c r="G484">
        <v>17.78</v>
      </c>
      <c r="H484">
        <v>10.934700000000001</v>
      </c>
      <c r="I484">
        <f t="shared" si="15"/>
        <v>2</v>
      </c>
    </row>
    <row r="485" spans="2:9" x14ac:dyDescent="0.25">
      <c r="B485">
        <v>27372</v>
      </c>
      <c r="C485" t="s">
        <v>868</v>
      </c>
      <c r="D485" t="s">
        <v>884</v>
      </c>
      <c r="E485" t="str">
        <f t="shared" si="14"/>
        <v>CHOCÓ - JURADÓ</v>
      </c>
      <c r="F485">
        <v>3217</v>
      </c>
      <c r="G485">
        <v>0.8</v>
      </c>
      <c r="H485">
        <v>0.49199999999999999</v>
      </c>
      <c r="I485">
        <f t="shared" si="15"/>
        <v>1</v>
      </c>
    </row>
    <row r="486" spans="2:9" x14ac:dyDescent="0.25">
      <c r="B486">
        <v>27413</v>
      </c>
      <c r="C486" t="s">
        <v>868</v>
      </c>
      <c r="D486" t="s">
        <v>885</v>
      </c>
      <c r="E486" t="str">
        <f t="shared" si="14"/>
        <v>CHOCÓ - LLORÓ</v>
      </c>
      <c r="F486">
        <v>11546</v>
      </c>
      <c r="G486">
        <v>1.4</v>
      </c>
      <c r="H486">
        <v>0.86099999999999999</v>
      </c>
      <c r="I486">
        <f t="shared" si="15"/>
        <v>1</v>
      </c>
    </row>
    <row r="487" spans="2:9" x14ac:dyDescent="0.25">
      <c r="B487">
        <v>27425</v>
      </c>
      <c r="C487" t="s">
        <v>868</v>
      </c>
      <c r="D487" t="s">
        <v>886</v>
      </c>
      <c r="E487" t="str">
        <f t="shared" si="14"/>
        <v>CHOCÓ - MEDIO ATRATO</v>
      </c>
      <c r="F487">
        <v>33542</v>
      </c>
      <c r="G487">
        <v>0.11</v>
      </c>
      <c r="H487">
        <v>6.7650000000000002E-2</v>
      </c>
      <c r="I487">
        <f t="shared" si="15"/>
        <v>1</v>
      </c>
    </row>
    <row r="488" spans="2:9" x14ac:dyDescent="0.25">
      <c r="B488">
        <v>27430</v>
      </c>
      <c r="C488" t="s">
        <v>868</v>
      </c>
      <c r="D488" t="s">
        <v>887</v>
      </c>
      <c r="E488" t="str">
        <f t="shared" si="14"/>
        <v>CHOCÓ - MEDIO BAUDÓ</v>
      </c>
      <c r="F488">
        <v>14347</v>
      </c>
      <c r="G488">
        <v>0.61</v>
      </c>
      <c r="H488">
        <v>0.37514999999999998</v>
      </c>
      <c r="I488">
        <f t="shared" si="15"/>
        <v>1</v>
      </c>
    </row>
    <row r="489" spans="2:9" x14ac:dyDescent="0.25">
      <c r="B489">
        <v>27450</v>
      </c>
      <c r="C489" t="s">
        <v>868</v>
      </c>
      <c r="D489" t="s">
        <v>888</v>
      </c>
      <c r="E489" t="str">
        <f t="shared" si="14"/>
        <v>CHOCÓ - MEDIO SAN JUAN</v>
      </c>
      <c r="F489">
        <v>17859</v>
      </c>
      <c r="G489">
        <v>2.2599999999999998</v>
      </c>
      <c r="H489">
        <v>1.3898999999999999</v>
      </c>
      <c r="I489">
        <f t="shared" si="15"/>
        <v>1</v>
      </c>
    </row>
    <row r="490" spans="2:9" x14ac:dyDescent="0.25">
      <c r="B490">
        <v>27491</v>
      </c>
      <c r="C490" t="s">
        <v>868</v>
      </c>
      <c r="D490" t="s">
        <v>889</v>
      </c>
      <c r="E490" t="str">
        <f t="shared" si="14"/>
        <v>CHOCÓ - NÓVITA</v>
      </c>
      <c r="F490">
        <v>7967</v>
      </c>
      <c r="G490">
        <v>1.05</v>
      </c>
      <c r="H490">
        <v>0.64575000000000005</v>
      </c>
      <c r="I490">
        <f t="shared" si="15"/>
        <v>1</v>
      </c>
    </row>
    <row r="491" spans="2:9" x14ac:dyDescent="0.25">
      <c r="B491">
        <v>27495</v>
      </c>
      <c r="C491" t="s">
        <v>868</v>
      </c>
      <c r="D491" t="s">
        <v>890</v>
      </c>
      <c r="E491" t="str">
        <f t="shared" si="14"/>
        <v>CHOCÓ - NUQUÍ</v>
      </c>
      <c r="F491">
        <v>8958</v>
      </c>
      <c r="G491">
        <v>0.6</v>
      </c>
      <c r="H491">
        <v>0.36899999999999999</v>
      </c>
      <c r="I491">
        <f t="shared" si="15"/>
        <v>1</v>
      </c>
    </row>
    <row r="492" spans="2:9" x14ac:dyDescent="0.25">
      <c r="B492">
        <v>27580</v>
      </c>
      <c r="C492" t="s">
        <v>868</v>
      </c>
      <c r="D492" t="s">
        <v>891</v>
      </c>
      <c r="E492" t="str">
        <f t="shared" si="14"/>
        <v>CHOCÓ - RÍO IRÓ</v>
      </c>
      <c r="F492">
        <v>10396</v>
      </c>
      <c r="G492">
        <v>0.76</v>
      </c>
      <c r="H492">
        <v>0.46739999999999998</v>
      </c>
      <c r="I492">
        <f t="shared" si="15"/>
        <v>1</v>
      </c>
    </row>
    <row r="493" spans="2:9" x14ac:dyDescent="0.25">
      <c r="B493">
        <v>27600</v>
      </c>
      <c r="C493" t="s">
        <v>868</v>
      </c>
      <c r="D493" t="s">
        <v>892</v>
      </c>
      <c r="E493" t="str">
        <f t="shared" si="14"/>
        <v>CHOCÓ - RÍO QUITO</v>
      </c>
      <c r="F493">
        <v>9395</v>
      </c>
      <c r="G493">
        <v>0.7</v>
      </c>
      <c r="H493">
        <v>0.43049999999999999</v>
      </c>
      <c r="I493">
        <f t="shared" si="15"/>
        <v>1</v>
      </c>
    </row>
    <row r="494" spans="2:9" x14ac:dyDescent="0.25">
      <c r="B494">
        <v>27615</v>
      </c>
      <c r="C494" t="s">
        <v>868</v>
      </c>
      <c r="D494" t="s">
        <v>762</v>
      </c>
      <c r="E494" t="str">
        <f t="shared" si="14"/>
        <v>CHOCÓ - RIOSUCIO</v>
      </c>
      <c r="F494">
        <v>29036</v>
      </c>
      <c r="G494">
        <v>2.92</v>
      </c>
      <c r="H494">
        <v>1.7957999999999998</v>
      </c>
      <c r="I494">
        <f t="shared" si="15"/>
        <v>1</v>
      </c>
    </row>
    <row r="495" spans="2:9" x14ac:dyDescent="0.25">
      <c r="B495">
        <v>27660</v>
      </c>
      <c r="C495" t="s">
        <v>868</v>
      </c>
      <c r="D495" t="s">
        <v>893</v>
      </c>
      <c r="E495" t="str">
        <f t="shared" si="14"/>
        <v>CHOCÓ - SAN JOSÉ DEL PALMAR</v>
      </c>
      <c r="F495">
        <v>4723</v>
      </c>
      <c r="G495">
        <v>2.09</v>
      </c>
      <c r="H495">
        <v>1.28535</v>
      </c>
      <c r="I495">
        <f t="shared" si="15"/>
        <v>1</v>
      </c>
    </row>
    <row r="496" spans="2:9" x14ac:dyDescent="0.25">
      <c r="B496">
        <v>27745</v>
      </c>
      <c r="C496" t="s">
        <v>868</v>
      </c>
      <c r="D496" t="s">
        <v>894</v>
      </c>
      <c r="E496" t="str">
        <f t="shared" si="14"/>
        <v>CHOCÓ - SIPÍ</v>
      </c>
      <c r="F496">
        <v>4273</v>
      </c>
      <c r="G496">
        <v>6.26</v>
      </c>
      <c r="H496">
        <v>3.8498999999999999</v>
      </c>
      <c r="I496">
        <f t="shared" si="15"/>
        <v>1</v>
      </c>
    </row>
    <row r="497" spans="2:9" x14ac:dyDescent="0.25">
      <c r="B497">
        <v>27787</v>
      </c>
      <c r="C497" t="s">
        <v>868</v>
      </c>
      <c r="D497" t="s">
        <v>895</v>
      </c>
      <c r="E497" t="str">
        <f t="shared" si="14"/>
        <v>CHOCÓ - TADÓ</v>
      </c>
      <c r="F497">
        <v>19169</v>
      </c>
      <c r="G497">
        <v>4.46</v>
      </c>
      <c r="H497">
        <v>2.7429000000000001</v>
      </c>
      <c r="I497">
        <f t="shared" si="15"/>
        <v>1</v>
      </c>
    </row>
    <row r="498" spans="2:9" x14ac:dyDescent="0.25">
      <c r="B498">
        <v>27800</v>
      </c>
      <c r="C498" t="s">
        <v>868</v>
      </c>
      <c r="D498" t="s">
        <v>896</v>
      </c>
      <c r="E498" t="str">
        <f t="shared" si="14"/>
        <v>CHOCÓ - UNGUÍA</v>
      </c>
      <c r="F498">
        <v>15312</v>
      </c>
      <c r="G498">
        <v>2.6</v>
      </c>
      <c r="H498">
        <v>1.599</v>
      </c>
      <c r="I498">
        <f t="shared" si="15"/>
        <v>1</v>
      </c>
    </row>
    <row r="499" spans="2:9" x14ac:dyDescent="0.25">
      <c r="B499">
        <v>27810</v>
      </c>
      <c r="C499" t="s">
        <v>868</v>
      </c>
      <c r="D499" t="s">
        <v>897</v>
      </c>
      <c r="E499" t="str">
        <f t="shared" si="14"/>
        <v>CHOCÓ - UNIÓN PANAMERICANA</v>
      </c>
      <c r="F499">
        <v>10221</v>
      </c>
      <c r="G499">
        <v>1.91</v>
      </c>
      <c r="H499">
        <v>1.17465</v>
      </c>
      <c r="I499">
        <f t="shared" si="15"/>
        <v>1</v>
      </c>
    </row>
    <row r="500" spans="2:9" x14ac:dyDescent="0.25">
      <c r="B500">
        <v>23001</v>
      </c>
      <c r="C500" t="s">
        <v>588</v>
      </c>
      <c r="D500" t="s">
        <v>898</v>
      </c>
      <c r="E500" t="str">
        <f t="shared" si="14"/>
        <v>CÓRDOBA - MONTERÍA</v>
      </c>
      <c r="F500">
        <v>465999</v>
      </c>
      <c r="G500">
        <v>294.16000000000003</v>
      </c>
      <c r="H500">
        <v>180.9084</v>
      </c>
      <c r="I500">
        <f t="shared" si="15"/>
        <v>3</v>
      </c>
    </row>
    <row r="501" spans="2:9" x14ac:dyDescent="0.25">
      <c r="B501">
        <v>23068</v>
      </c>
      <c r="C501" t="s">
        <v>588</v>
      </c>
      <c r="D501" t="s">
        <v>899</v>
      </c>
      <c r="E501" t="str">
        <f t="shared" si="14"/>
        <v>CÓRDOBA - AYAPEL</v>
      </c>
      <c r="F501">
        <v>55120</v>
      </c>
      <c r="G501">
        <v>11.31</v>
      </c>
      <c r="H501">
        <v>6.9556500000000003</v>
      </c>
      <c r="I501">
        <f t="shared" si="15"/>
        <v>1</v>
      </c>
    </row>
    <row r="502" spans="2:9" x14ac:dyDescent="0.25">
      <c r="B502">
        <v>23079</v>
      </c>
      <c r="C502" t="s">
        <v>588</v>
      </c>
      <c r="D502" t="s">
        <v>633</v>
      </c>
      <c r="E502" t="str">
        <f t="shared" si="14"/>
        <v>CÓRDOBA - BUENAVISTA</v>
      </c>
      <c r="F502">
        <v>22711</v>
      </c>
      <c r="G502">
        <v>5.69</v>
      </c>
      <c r="H502">
        <v>3.4993500000000002</v>
      </c>
      <c r="I502">
        <f t="shared" si="15"/>
        <v>1</v>
      </c>
    </row>
    <row r="503" spans="2:9" x14ac:dyDescent="0.25">
      <c r="B503">
        <v>23090</v>
      </c>
      <c r="C503" t="s">
        <v>588</v>
      </c>
      <c r="D503" t="s">
        <v>900</v>
      </c>
      <c r="E503" t="str">
        <f t="shared" si="14"/>
        <v>CÓRDOBA - CANALETE</v>
      </c>
      <c r="F503">
        <v>23520</v>
      </c>
      <c r="G503">
        <v>1.96</v>
      </c>
      <c r="H503">
        <v>1.2054</v>
      </c>
      <c r="I503">
        <f t="shared" si="15"/>
        <v>1</v>
      </c>
    </row>
    <row r="504" spans="2:9" x14ac:dyDescent="0.25">
      <c r="B504">
        <v>23162</v>
      </c>
      <c r="C504" t="s">
        <v>588</v>
      </c>
      <c r="D504" t="s">
        <v>901</v>
      </c>
      <c r="E504" t="str">
        <f t="shared" si="14"/>
        <v>CÓRDOBA - CERETÉ</v>
      </c>
      <c r="F504">
        <v>94355</v>
      </c>
      <c r="G504">
        <v>42.94</v>
      </c>
      <c r="H504">
        <v>26.408099999999997</v>
      </c>
      <c r="I504">
        <f t="shared" si="15"/>
        <v>2</v>
      </c>
    </row>
    <row r="505" spans="2:9" x14ac:dyDescent="0.25">
      <c r="B505">
        <v>23168</v>
      </c>
      <c r="C505" t="s">
        <v>588</v>
      </c>
      <c r="D505" t="s">
        <v>902</v>
      </c>
      <c r="E505" t="str">
        <f t="shared" si="14"/>
        <v>CÓRDOBA - CHIMÁ</v>
      </c>
      <c r="F505">
        <v>15571</v>
      </c>
      <c r="G505">
        <v>1.96</v>
      </c>
      <c r="H505">
        <v>1.2054</v>
      </c>
      <c r="I505">
        <f t="shared" si="15"/>
        <v>1</v>
      </c>
    </row>
    <row r="506" spans="2:9" x14ac:dyDescent="0.25">
      <c r="B506">
        <v>23182</v>
      </c>
      <c r="C506" t="s">
        <v>588</v>
      </c>
      <c r="D506" t="s">
        <v>903</v>
      </c>
      <c r="E506" t="str">
        <f t="shared" si="14"/>
        <v>CÓRDOBA - CHINÚ</v>
      </c>
      <c r="F506">
        <v>50313</v>
      </c>
      <c r="G506">
        <v>15.04</v>
      </c>
      <c r="H506">
        <v>9.2495999999999992</v>
      </c>
      <c r="I506">
        <f t="shared" si="15"/>
        <v>1</v>
      </c>
    </row>
    <row r="507" spans="2:9" x14ac:dyDescent="0.25">
      <c r="B507">
        <v>23189</v>
      </c>
      <c r="C507" t="s">
        <v>588</v>
      </c>
      <c r="D507" t="s">
        <v>904</v>
      </c>
      <c r="E507" t="str">
        <f t="shared" si="14"/>
        <v>CÓRDOBA - CIÉNAGA DE ORO</v>
      </c>
      <c r="F507">
        <v>69144</v>
      </c>
      <c r="G507">
        <v>17.309999999999999</v>
      </c>
      <c r="H507">
        <v>10.64565</v>
      </c>
      <c r="I507">
        <f t="shared" si="15"/>
        <v>2</v>
      </c>
    </row>
    <row r="508" spans="2:9" x14ac:dyDescent="0.25">
      <c r="B508">
        <v>23300</v>
      </c>
      <c r="C508" t="s">
        <v>588</v>
      </c>
      <c r="D508" t="s">
        <v>905</v>
      </c>
      <c r="E508" t="str">
        <f t="shared" si="14"/>
        <v>CÓRDOBA - COTORRA</v>
      </c>
      <c r="F508">
        <v>15551</v>
      </c>
      <c r="G508">
        <v>1.08</v>
      </c>
      <c r="H508">
        <v>0.66420000000000001</v>
      </c>
      <c r="I508">
        <f t="shared" si="15"/>
        <v>1</v>
      </c>
    </row>
    <row r="509" spans="2:9" x14ac:dyDescent="0.25">
      <c r="B509">
        <v>23350</v>
      </c>
      <c r="C509" t="s">
        <v>588</v>
      </c>
      <c r="D509" t="s">
        <v>906</v>
      </c>
      <c r="E509" t="str">
        <f t="shared" si="14"/>
        <v>CÓRDOBA - LA APARTADA</v>
      </c>
      <c r="F509">
        <v>16315</v>
      </c>
      <c r="G509">
        <v>4.51</v>
      </c>
      <c r="H509">
        <v>2.7736499999999999</v>
      </c>
      <c r="I509">
        <f t="shared" si="15"/>
        <v>1</v>
      </c>
    </row>
    <row r="510" spans="2:9" x14ac:dyDescent="0.25">
      <c r="B510">
        <v>23417</v>
      </c>
      <c r="C510" t="s">
        <v>588</v>
      </c>
      <c r="D510" t="s">
        <v>907</v>
      </c>
      <c r="E510" t="str">
        <f t="shared" si="14"/>
        <v>CÓRDOBA - LORICA</v>
      </c>
      <c r="F510">
        <v>121214</v>
      </c>
      <c r="G510">
        <v>30.38</v>
      </c>
      <c r="H510">
        <v>18.683699999999998</v>
      </c>
      <c r="I510">
        <f t="shared" si="15"/>
        <v>2</v>
      </c>
    </row>
    <row r="511" spans="2:9" x14ac:dyDescent="0.25">
      <c r="B511">
        <v>23419</v>
      </c>
      <c r="C511" t="s">
        <v>588</v>
      </c>
      <c r="D511" t="s">
        <v>908</v>
      </c>
      <c r="E511" t="str">
        <f t="shared" si="14"/>
        <v>CÓRDOBA - LOS CÓRDOBAS</v>
      </c>
      <c r="F511">
        <v>26705</v>
      </c>
      <c r="G511">
        <v>2.69</v>
      </c>
      <c r="H511">
        <v>1.65435</v>
      </c>
      <c r="I511">
        <f t="shared" si="15"/>
        <v>1</v>
      </c>
    </row>
    <row r="512" spans="2:9" x14ac:dyDescent="0.25">
      <c r="B512">
        <v>23464</v>
      </c>
      <c r="C512" t="s">
        <v>588</v>
      </c>
      <c r="D512" t="s">
        <v>909</v>
      </c>
      <c r="E512" t="str">
        <f t="shared" si="14"/>
        <v>CÓRDOBA - MOMIL</v>
      </c>
      <c r="F512">
        <v>15274</v>
      </c>
      <c r="G512">
        <v>6.38</v>
      </c>
      <c r="H512">
        <v>3.9236999999999997</v>
      </c>
      <c r="I512">
        <f t="shared" si="15"/>
        <v>1</v>
      </c>
    </row>
    <row r="513" spans="2:9" x14ac:dyDescent="0.25">
      <c r="B513">
        <v>23466</v>
      </c>
      <c r="C513" t="s">
        <v>588</v>
      </c>
      <c r="D513" t="s">
        <v>910</v>
      </c>
      <c r="E513" t="str">
        <f t="shared" si="14"/>
        <v>CÓRDOBA - MONTELÍBANO</v>
      </c>
      <c r="F513">
        <v>88674</v>
      </c>
      <c r="G513">
        <v>37.46</v>
      </c>
      <c r="H513">
        <v>23.0379</v>
      </c>
      <c r="I513">
        <f t="shared" si="15"/>
        <v>2</v>
      </c>
    </row>
    <row r="514" spans="2:9" x14ac:dyDescent="0.25">
      <c r="B514">
        <v>23500</v>
      </c>
      <c r="C514" t="s">
        <v>588</v>
      </c>
      <c r="D514" t="s">
        <v>911</v>
      </c>
      <c r="E514" t="str">
        <f t="shared" si="14"/>
        <v>CÓRDOBA - MOÑITOS</v>
      </c>
      <c r="F514">
        <v>29117</v>
      </c>
      <c r="G514">
        <v>3.3</v>
      </c>
      <c r="H514">
        <v>2.0295000000000001</v>
      </c>
      <c r="I514">
        <f t="shared" si="15"/>
        <v>1</v>
      </c>
    </row>
    <row r="515" spans="2:9" x14ac:dyDescent="0.25">
      <c r="B515">
        <v>23555</v>
      </c>
      <c r="C515" t="s">
        <v>588</v>
      </c>
      <c r="D515" t="s">
        <v>912</v>
      </c>
      <c r="E515" t="str">
        <f t="shared" si="14"/>
        <v>CÓRDOBA - PLANETA RICA</v>
      </c>
      <c r="F515">
        <v>69285</v>
      </c>
      <c r="G515">
        <v>28.34</v>
      </c>
      <c r="H515">
        <v>17.429099999999998</v>
      </c>
      <c r="I515">
        <f t="shared" si="15"/>
        <v>2</v>
      </c>
    </row>
    <row r="516" spans="2:9" x14ac:dyDescent="0.25">
      <c r="B516">
        <v>23570</v>
      </c>
      <c r="C516" t="s">
        <v>588</v>
      </c>
      <c r="D516" t="s">
        <v>913</v>
      </c>
      <c r="E516" t="str">
        <f t="shared" ref="E516:E579" si="16">C516&amp;" - "&amp;D516</f>
        <v>CÓRDOBA - PUEBLO NUEVO</v>
      </c>
      <c r="F516">
        <v>41684</v>
      </c>
      <c r="G516">
        <v>6.93</v>
      </c>
      <c r="H516">
        <v>4.2619499999999997</v>
      </c>
      <c r="I516">
        <f t="shared" ref="I516:I579" si="17">IF(H516&lt;$P$3,$O$3,IF(H516&lt;$P$4,$O$4,IF(H516&lt;$P$5,$O$5,$O$6)))</f>
        <v>1</v>
      </c>
    </row>
    <row r="517" spans="2:9" x14ac:dyDescent="0.25">
      <c r="B517">
        <v>23574</v>
      </c>
      <c r="C517" t="s">
        <v>588</v>
      </c>
      <c r="D517" t="s">
        <v>914</v>
      </c>
      <c r="E517" t="str">
        <f t="shared" si="16"/>
        <v>CÓRDOBA - PUERTO ESCONDIDO</v>
      </c>
      <c r="F517">
        <v>32745</v>
      </c>
      <c r="G517">
        <v>2.31</v>
      </c>
      <c r="H517">
        <v>1.42065</v>
      </c>
      <c r="I517">
        <f t="shared" si="17"/>
        <v>1</v>
      </c>
    </row>
    <row r="518" spans="2:9" x14ac:dyDescent="0.25">
      <c r="B518">
        <v>23580</v>
      </c>
      <c r="C518" t="s">
        <v>588</v>
      </c>
      <c r="D518" t="s">
        <v>915</v>
      </c>
      <c r="E518" t="str">
        <f t="shared" si="16"/>
        <v>CÓRDOBA - PUERTO LIBERTADOR</v>
      </c>
      <c r="F518">
        <v>53990</v>
      </c>
      <c r="G518">
        <v>7.71</v>
      </c>
      <c r="H518">
        <v>4.7416499999999999</v>
      </c>
      <c r="I518">
        <f t="shared" si="17"/>
        <v>1</v>
      </c>
    </row>
    <row r="519" spans="2:9" x14ac:dyDescent="0.25">
      <c r="B519">
        <v>23586</v>
      </c>
      <c r="C519" t="s">
        <v>588</v>
      </c>
      <c r="D519" t="s">
        <v>916</v>
      </c>
      <c r="E519" t="str">
        <f t="shared" si="16"/>
        <v>CÓRDOBA - PURÍSIMA DE LA CONCEPCIÓN</v>
      </c>
      <c r="F519">
        <v>15189</v>
      </c>
      <c r="G519">
        <v>6.63</v>
      </c>
      <c r="H519">
        <v>4.0774499999999998</v>
      </c>
      <c r="I519">
        <f t="shared" si="17"/>
        <v>1</v>
      </c>
    </row>
    <row r="520" spans="2:9" x14ac:dyDescent="0.25">
      <c r="B520">
        <v>23660</v>
      </c>
      <c r="C520" t="s">
        <v>588</v>
      </c>
      <c r="D520" t="s">
        <v>917</v>
      </c>
      <c r="E520" t="str">
        <f t="shared" si="16"/>
        <v>CÓRDOBA - SAHAGÚN</v>
      </c>
      <c r="F520">
        <v>90487</v>
      </c>
      <c r="G520">
        <v>38.53</v>
      </c>
      <c r="H520">
        <v>23.69595</v>
      </c>
      <c r="I520">
        <f t="shared" si="17"/>
        <v>2</v>
      </c>
    </row>
    <row r="521" spans="2:9" x14ac:dyDescent="0.25">
      <c r="B521">
        <v>23670</v>
      </c>
      <c r="C521" t="s">
        <v>588</v>
      </c>
      <c r="D521" t="s">
        <v>918</v>
      </c>
      <c r="E521" t="str">
        <f t="shared" si="16"/>
        <v>CÓRDOBA - SAN ANDRÉS DE SOTAVENTO</v>
      </c>
      <c r="F521">
        <v>47282</v>
      </c>
      <c r="G521">
        <v>4.41</v>
      </c>
      <c r="H521">
        <v>2.7121499999999998</v>
      </c>
      <c r="I521">
        <f t="shared" si="17"/>
        <v>1</v>
      </c>
    </row>
    <row r="522" spans="2:9" x14ac:dyDescent="0.25">
      <c r="B522">
        <v>23672</v>
      </c>
      <c r="C522" t="s">
        <v>588</v>
      </c>
      <c r="D522" t="s">
        <v>919</v>
      </c>
      <c r="E522" t="str">
        <f t="shared" si="16"/>
        <v>CÓRDOBA - SAN ANTERO</v>
      </c>
      <c r="F522">
        <v>33662</v>
      </c>
      <c r="G522">
        <v>13.5</v>
      </c>
      <c r="H522">
        <v>8.3025000000000002</v>
      </c>
      <c r="I522">
        <f t="shared" si="17"/>
        <v>1</v>
      </c>
    </row>
    <row r="523" spans="2:9" x14ac:dyDescent="0.25">
      <c r="B523">
        <v>23675</v>
      </c>
      <c r="C523" t="s">
        <v>588</v>
      </c>
      <c r="D523" t="s">
        <v>920</v>
      </c>
      <c r="E523" t="str">
        <f t="shared" si="16"/>
        <v>CÓRDOBA - SAN BERNARDO DEL VIENTO</v>
      </c>
      <c r="F523">
        <v>36200</v>
      </c>
      <c r="G523">
        <v>2.89</v>
      </c>
      <c r="H523">
        <v>1.77735</v>
      </c>
      <c r="I523">
        <f t="shared" si="17"/>
        <v>1</v>
      </c>
    </row>
    <row r="524" spans="2:9" x14ac:dyDescent="0.25">
      <c r="B524">
        <v>23678</v>
      </c>
      <c r="C524" t="s">
        <v>588</v>
      </c>
      <c r="D524" t="s">
        <v>507</v>
      </c>
      <c r="E524" t="str">
        <f t="shared" si="16"/>
        <v>CÓRDOBA - SAN CARLOS</v>
      </c>
      <c r="F524">
        <v>28597</v>
      </c>
      <c r="G524">
        <v>2.33</v>
      </c>
      <c r="H524">
        <v>1.4329499999999999</v>
      </c>
      <c r="I524">
        <f t="shared" si="17"/>
        <v>1</v>
      </c>
    </row>
    <row r="525" spans="2:9" x14ac:dyDescent="0.25">
      <c r="B525">
        <v>23682</v>
      </c>
      <c r="C525" t="s">
        <v>588</v>
      </c>
      <c r="D525" t="s">
        <v>921</v>
      </c>
      <c r="E525" t="str">
        <f t="shared" si="16"/>
        <v>CÓRDOBA - SAN JOSÉ DE URÉ</v>
      </c>
      <c r="F525">
        <v>11742</v>
      </c>
      <c r="G525">
        <v>2.08</v>
      </c>
      <c r="H525">
        <v>1.2792000000000001</v>
      </c>
      <c r="I525">
        <f t="shared" si="17"/>
        <v>1</v>
      </c>
    </row>
    <row r="526" spans="2:9" x14ac:dyDescent="0.25">
      <c r="B526">
        <v>23686</v>
      </c>
      <c r="C526" t="s">
        <v>588</v>
      </c>
      <c r="D526" t="s">
        <v>922</v>
      </c>
      <c r="E526" t="str">
        <f t="shared" si="16"/>
        <v>CÓRDOBA - SAN PELAYO</v>
      </c>
      <c r="F526">
        <v>45396</v>
      </c>
      <c r="G526">
        <v>5.42</v>
      </c>
      <c r="H526">
        <v>3.3332999999999999</v>
      </c>
      <c r="I526">
        <f t="shared" si="17"/>
        <v>1</v>
      </c>
    </row>
    <row r="527" spans="2:9" x14ac:dyDescent="0.25">
      <c r="B527">
        <v>23807</v>
      </c>
      <c r="C527" t="s">
        <v>588</v>
      </c>
      <c r="D527" t="s">
        <v>923</v>
      </c>
      <c r="E527" t="str">
        <f t="shared" si="16"/>
        <v>CÓRDOBA - TIERRALTA</v>
      </c>
      <c r="F527">
        <v>109770</v>
      </c>
      <c r="G527">
        <v>22.53</v>
      </c>
      <c r="H527">
        <v>13.85595</v>
      </c>
      <c r="I527">
        <f t="shared" si="17"/>
        <v>2</v>
      </c>
    </row>
    <row r="528" spans="2:9" x14ac:dyDescent="0.25">
      <c r="B528">
        <v>23815</v>
      </c>
      <c r="C528" t="s">
        <v>588</v>
      </c>
      <c r="D528" t="s">
        <v>924</v>
      </c>
      <c r="E528" t="str">
        <f t="shared" si="16"/>
        <v>CÓRDOBA - TUCHÍN</v>
      </c>
      <c r="F528">
        <v>41345</v>
      </c>
      <c r="G528">
        <v>4.3099999999999996</v>
      </c>
      <c r="H528">
        <v>2.6506499999999997</v>
      </c>
      <c r="I528">
        <f t="shared" si="17"/>
        <v>1</v>
      </c>
    </row>
    <row r="529" spans="2:9" x14ac:dyDescent="0.25">
      <c r="B529">
        <v>23855</v>
      </c>
      <c r="C529" t="s">
        <v>588</v>
      </c>
      <c r="D529" t="s">
        <v>925</v>
      </c>
      <c r="E529" t="str">
        <f t="shared" si="16"/>
        <v>CÓRDOBA - VALENCIA</v>
      </c>
      <c r="F529">
        <v>46897</v>
      </c>
      <c r="G529">
        <v>8.18</v>
      </c>
      <c r="H529">
        <v>5.0306999999999995</v>
      </c>
      <c r="I529">
        <f t="shared" si="17"/>
        <v>1</v>
      </c>
    </row>
    <row r="530" spans="2:9" x14ac:dyDescent="0.25">
      <c r="B530">
        <v>25001</v>
      </c>
      <c r="C530" t="s">
        <v>926</v>
      </c>
      <c r="D530" t="s">
        <v>927</v>
      </c>
      <c r="E530" t="str">
        <f t="shared" si="16"/>
        <v>CUNDINAMARCA - AGUA DE DIOS</v>
      </c>
      <c r="F530">
        <v>10634</v>
      </c>
      <c r="G530">
        <v>6.25</v>
      </c>
      <c r="H530">
        <v>3.84375</v>
      </c>
      <c r="I530">
        <f t="shared" si="17"/>
        <v>1</v>
      </c>
    </row>
    <row r="531" spans="2:9" x14ac:dyDescent="0.25">
      <c r="B531">
        <v>25019</v>
      </c>
      <c r="C531" t="s">
        <v>926</v>
      </c>
      <c r="D531" t="s">
        <v>928</v>
      </c>
      <c r="E531" t="str">
        <f t="shared" si="16"/>
        <v>CUNDINAMARCA - ALBÁN</v>
      </c>
      <c r="F531">
        <v>5957</v>
      </c>
      <c r="G531">
        <v>1.93</v>
      </c>
      <c r="H531">
        <v>1.1869499999999999</v>
      </c>
      <c r="I531">
        <f t="shared" si="17"/>
        <v>1</v>
      </c>
    </row>
    <row r="532" spans="2:9" x14ac:dyDescent="0.25">
      <c r="B532">
        <v>25035</v>
      </c>
      <c r="C532" t="s">
        <v>926</v>
      </c>
      <c r="D532" t="s">
        <v>929</v>
      </c>
      <c r="E532" t="str">
        <f t="shared" si="16"/>
        <v>CUNDINAMARCA - ANAPOIMA</v>
      </c>
      <c r="F532">
        <v>14126</v>
      </c>
      <c r="G532">
        <v>11.37</v>
      </c>
      <c r="H532">
        <v>6.9925499999999996</v>
      </c>
      <c r="I532">
        <f t="shared" si="17"/>
        <v>1</v>
      </c>
    </row>
    <row r="533" spans="2:9" x14ac:dyDescent="0.25">
      <c r="B533">
        <v>25040</v>
      </c>
      <c r="C533" t="s">
        <v>926</v>
      </c>
      <c r="D533" t="s">
        <v>930</v>
      </c>
      <c r="E533" t="str">
        <f t="shared" si="16"/>
        <v>CUNDINAMARCA - ANOLAIMA</v>
      </c>
      <c r="F533">
        <v>11894</v>
      </c>
      <c r="G533">
        <v>4.6500000000000004</v>
      </c>
      <c r="H533">
        <v>2.85975</v>
      </c>
      <c r="I533">
        <f t="shared" si="17"/>
        <v>1</v>
      </c>
    </row>
    <row r="534" spans="2:9" x14ac:dyDescent="0.25">
      <c r="B534">
        <v>25053</v>
      </c>
      <c r="C534" t="s">
        <v>926</v>
      </c>
      <c r="D534" t="s">
        <v>931</v>
      </c>
      <c r="E534" t="str">
        <f t="shared" si="16"/>
        <v>CUNDINAMARCA - ARBELÁEZ</v>
      </c>
      <c r="F534">
        <v>12449</v>
      </c>
      <c r="G534">
        <v>0.84</v>
      </c>
      <c r="H534">
        <v>0.51659999999999995</v>
      </c>
      <c r="I534">
        <f t="shared" si="17"/>
        <v>1</v>
      </c>
    </row>
    <row r="535" spans="2:9" x14ac:dyDescent="0.25">
      <c r="B535">
        <v>25086</v>
      </c>
      <c r="C535" t="s">
        <v>926</v>
      </c>
      <c r="D535" t="s">
        <v>932</v>
      </c>
      <c r="E535" t="str">
        <f t="shared" si="16"/>
        <v>CUNDINAMARCA - BELTRÁN</v>
      </c>
      <c r="F535">
        <v>2322</v>
      </c>
      <c r="G535">
        <v>0.45</v>
      </c>
      <c r="H535">
        <v>0.27675</v>
      </c>
      <c r="I535">
        <f t="shared" si="17"/>
        <v>1</v>
      </c>
    </row>
    <row r="536" spans="2:9" x14ac:dyDescent="0.25">
      <c r="B536">
        <v>25095</v>
      </c>
      <c r="C536" t="s">
        <v>926</v>
      </c>
      <c r="D536" t="s">
        <v>933</v>
      </c>
      <c r="E536" t="str">
        <f t="shared" si="16"/>
        <v>CUNDINAMARCA - BITUIMA</v>
      </c>
      <c r="F536">
        <v>2468</v>
      </c>
      <c r="G536">
        <v>0.45</v>
      </c>
      <c r="H536">
        <v>0.27675</v>
      </c>
      <c r="I536">
        <f t="shared" si="17"/>
        <v>1</v>
      </c>
    </row>
    <row r="537" spans="2:9" x14ac:dyDescent="0.25">
      <c r="B537">
        <v>25099</v>
      </c>
      <c r="C537" t="s">
        <v>926</v>
      </c>
      <c r="D537" t="s">
        <v>934</v>
      </c>
      <c r="E537" t="str">
        <f t="shared" si="16"/>
        <v>CUNDINAMARCA - BOJACÁ</v>
      </c>
      <c r="F537">
        <v>12749</v>
      </c>
      <c r="G537">
        <v>5.03</v>
      </c>
      <c r="H537">
        <v>3.0934500000000003</v>
      </c>
      <c r="I537">
        <f t="shared" si="17"/>
        <v>1</v>
      </c>
    </row>
    <row r="538" spans="2:9" x14ac:dyDescent="0.25">
      <c r="B538">
        <v>25120</v>
      </c>
      <c r="C538" t="s">
        <v>926</v>
      </c>
      <c r="D538" t="s">
        <v>935</v>
      </c>
      <c r="E538" t="str">
        <f t="shared" si="16"/>
        <v>CUNDINAMARCA - CABRERA</v>
      </c>
      <c r="F538">
        <v>4411</v>
      </c>
      <c r="G538">
        <v>0.69</v>
      </c>
      <c r="H538">
        <v>0.42434999999999995</v>
      </c>
      <c r="I538">
        <f t="shared" si="17"/>
        <v>1</v>
      </c>
    </row>
    <row r="539" spans="2:9" x14ac:dyDescent="0.25">
      <c r="B539">
        <v>25123</v>
      </c>
      <c r="C539" t="s">
        <v>926</v>
      </c>
      <c r="D539" t="s">
        <v>936</v>
      </c>
      <c r="E539" t="str">
        <f t="shared" si="16"/>
        <v>CUNDINAMARCA - CACHIPAY</v>
      </c>
      <c r="F539">
        <v>9740</v>
      </c>
      <c r="G539">
        <v>3.74</v>
      </c>
      <c r="H539">
        <v>2.3001</v>
      </c>
      <c r="I539">
        <f t="shared" si="17"/>
        <v>1</v>
      </c>
    </row>
    <row r="540" spans="2:9" x14ac:dyDescent="0.25">
      <c r="B540">
        <v>25126</v>
      </c>
      <c r="C540" t="s">
        <v>926</v>
      </c>
      <c r="D540" t="s">
        <v>937</v>
      </c>
      <c r="E540" t="str">
        <f t="shared" si="16"/>
        <v>CUNDINAMARCA - CAJICÁ</v>
      </c>
      <c r="F540">
        <v>61549</v>
      </c>
      <c r="G540">
        <v>46.42</v>
      </c>
      <c r="H540">
        <v>28.548300000000001</v>
      </c>
      <c r="I540">
        <f t="shared" si="17"/>
        <v>2</v>
      </c>
    </row>
    <row r="541" spans="2:9" x14ac:dyDescent="0.25">
      <c r="B541">
        <v>25148</v>
      </c>
      <c r="C541" t="s">
        <v>926</v>
      </c>
      <c r="D541" t="s">
        <v>938</v>
      </c>
      <c r="E541" t="str">
        <f t="shared" si="16"/>
        <v>CUNDINAMARCA - CAPARRAPÍ</v>
      </c>
      <c r="F541">
        <v>16748</v>
      </c>
      <c r="G541">
        <v>2.56</v>
      </c>
      <c r="H541">
        <v>1.5744</v>
      </c>
      <c r="I541">
        <f t="shared" si="17"/>
        <v>1</v>
      </c>
    </row>
    <row r="542" spans="2:9" x14ac:dyDescent="0.25">
      <c r="B542">
        <v>25151</v>
      </c>
      <c r="C542" t="s">
        <v>926</v>
      </c>
      <c r="D542" t="s">
        <v>939</v>
      </c>
      <c r="E542" t="str">
        <f t="shared" si="16"/>
        <v>CUNDINAMARCA - CÁQUEZA</v>
      </c>
      <c r="F542">
        <v>17396</v>
      </c>
      <c r="G542">
        <v>4.97</v>
      </c>
      <c r="H542">
        <v>3.0565499999999997</v>
      </c>
      <c r="I542">
        <f t="shared" si="17"/>
        <v>1</v>
      </c>
    </row>
    <row r="543" spans="2:9" x14ac:dyDescent="0.25">
      <c r="B543">
        <v>25154</v>
      </c>
      <c r="C543" t="s">
        <v>926</v>
      </c>
      <c r="D543" t="s">
        <v>940</v>
      </c>
      <c r="E543" t="str">
        <f t="shared" si="16"/>
        <v>CUNDINAMARCA - CARMEN DE CARUPA</v>
      </c>
      <c r="F543">
        <v>9458</v>
      </c>
      <c r="G543">
        <v>0.54</v>
      </c>
      <c r="H543">
        <v>0.33210000000000001</v>
      </c>
      <c r="I543">
        <f t="shared" si="17"/>
        <v>1</v>
      </c>
    </row>
    <row r="544" spans="2:9" x14ac:dyDescent="0.25">
      <c r="B544">
        <v>25168</v>
      </c>
      <c r="C544" t="s">
        <v>926</v>
      </c>
      <c r="D544" t="s">
        <v>941</v>
      </c>
      <c r="E544" t="str">
        <f t="shared" si="16"/>
        <v>CUNDINAMARCA - CHAGUANÍ</v>
      </c>
      <c r="F544">
        <v>3960</v>
      </c>
      <c r="G544">
        <v>0.63</v>
      </c>
      <c r="H544">
        <v>0.38745000000000002</v>
      </c>
      <c r="I544">
        <f t="shared" si="17"/>
        <v>1</v>
      </c>
    </row>
    <row r="545" spans="2:9" x14ac:dyDescent="0.25">
      <c r="B545">
        <v>25175</v>
      </c>
      <c r="C545" t="s">
        <v>926</v>
      </c>
      <c r="D545" t="s">
        <v>942</v>
      </c>
      <c r="E545" t="str">
        <f t="shared" si="16"/>
        <v>CUNDINAMARCA - CHÍA</v>
      </c>
      <c r="F545">
        <v>138822</v>
      </c>
      <c r="G545">
        <v>101.15</v>
      </c>
      <c r="H545">
        <v>62.207250000000002</v>
      </c>
      <c r="I545">
        <f t="shared" si="17"/>
        <v>3</v>
      </c>
    </row>
    <row r="546" spans="2:9" x14ac:dyDescent="0.25">
      <c r="B546">
        <v>25178</v>
      </c>
      <c r="C546" t="s">
        <v>926</v>
      </c>
      <c r="D546" t="s">
        <v>943</v>
      </c>
      <c r="E546" t="str">
        <f t="shared" si="16"/>
        <v>CUNDINAMARCA - CHIPAQUE</v>
      </c>
      <c r="F546">
        <v>8401</v>
      </c>
      <c r="G546">
        <v>2.3199999999999998</v>
      </c>
      <c r="H546">
        <v>1.4267999999999998</v>
      </c>
      <c r="I546">
        <f t="shared" si="17"/>
        <v>1</v>
      </c>
    </row>
    <row r="547" spans="2:9" x14ac:dyDescent="0.25">
      <c r="B547">
        <v>25181</v>
      </c>
      <c r="C547" t="s">
        <v>926</v>
      </c>
      <c r="D547" t="s">
        <v>944</v>
      </c>
      <c r="E547" t="str">
        <f t="shared" si="16"/>
        <v>CUNDINAMARCA - CHOACHÍ</v>
      </c>
      <c r="F547">
        <v>10487</v>
      </c>
      <c r="G547">
        <v>2.8</v>
      </c>
      <c r="H547">
        <v>1.722</v>
      </c>
      <c r="I547">
        <f t="shared" si="17"/>
        <v>1</v>
      </c>
    </row>
    <row r="548" spans="2:9" x14ac:dyDescent="0.25">
      <c r="B548">
        <v>25183</v>
      </c>
      <c r="C548" t="s">
        <v>926</v>
      </c>
      <c r="D548" t="s">
        <v>945</v>
      </c>
      <c r="E548" t="str">
        <f t="shared" si="16"/>
        <v>CUNDINAMARCA - CHOCONTÁ</v>
      </c>
      <c r="F548">
        <v>27927</v>
      </c>
      <c r="G548">
        <v>5.49</v>
      </c>
      <c r="H548">
        <v>3.37635</v>
      </c>
      <c r="I548">
        <f t="shared" si="17"/>
        <v>1</v>
      </c>
    </row>
    <row r="549" spans="2:9" x14ac:dyDescent="0.25">
      <c r="B549">
        <v>25200</v>
      </c>
      <c r="C549" t="s">
        <v>926</v>
      </c>
      <c r="D549" t="s">
        <v>946</v>
      </c>
      <c r="E549" t="str">
        <f t="shared" si="16"/>
        <v>CUNDINAMARCA - COGUA</v>
      </c>
      <c r="F549">
        <v>24092</v>
      </c>
      <c r="G549">
        <v>9.11</v>
      </c>
      <c r="H549">
        <v>5.6026499999999997</v>
      </c>
      <c r="I549">
        <f t="shared" si="17"/>
        <v>1</v>
      </c>
    </row>
    <row r="550" spans="2:9" x14ac:dyDescent="0.25">
      <c r="B550">
        <v>25214</v>
      </c>
      <c r="C550" t="s">
        <v>926</v>
      </c>
      <c r="D550" t="s">
        <v>947</v>
      </c>
      <c r="E550" t="str">
        <f t="shared" si="16"/>
        <v>CUNDINAMARCA - COTA</v>
      </c>
      <c r="F550">
        <v>26980</v>
      </c>
      <c r="G550">
        <v>39.33</v>
      </c>
      <c r="H550">
        <v>24.187949999999997</v>
      </c>
      <c r="I550">
        <f t="shared" si="17"/>
        <v>2</v>
      </c>
    </row>
    <row r="551" spans="2:9" x14ac:dyDescent="0.25">
      <c r="B551">
        <v>25224</v>
      </c>
      <c r="C551" t="s">
        <v>926</v>
      </c>
      <c r="D551" t="s">
        <v>948</v>
      </c>
      <c r="E551" t="str">
        <f t="shared" si="16"/>
        <v>CUNDINAMARCA - CUCUNUBÁ</v>
      </c>
      <c r="F551">
        <v>7623</v>
      </c>
      <c r="G551">
        <v>0.83</v>
      </c>
      <c r="H551">
        <v>0.51044999999999996</v>
      </c>
      <c r="I551">
        <f t="shared" si="17"/>
        <v>1</v>
      </c>
    </row>
    <row r="552" spans="2:9" x14ac:dyDescent="0.25">
      <c r="B552">
        <v>25245</v>
      </c>
      <c r="C552" t="s">
        <v>926</v>
      </c>
      <c r="D552" t="s">
        <v>949</v>
      </c>
      <c r="E552" t="str">
        <f t="shared" si="16"/>
        <v>CUNDINAMARCA - EL COLEGIO</v>
      </c>
      <c r="F552">
        <v>22247</v>
      </c>
      <c r="G552">
        <v>25.59</v>
      </c>
      <c r="H552">
        <v>15.73785</v>
      </c>
      <c r="I552">
        <f t="shared" si="17"/>
        <v>2</v>
      </c>
    </row>
    <row r="553" spans="2:9" x14ac:dyDescent="0.25">
      <c r="B553">
        <v>25258</v>
      </c>
      <c r="C553" t="s">
        <v>926</v>
      </c>
      <c r="D553" t="s">
        <v>592</v>
      </c>
      <c r="E553" t="str">
        <f t="shared" si="16"/>
        <v>CUNDINAMARCA - EL PEÑÓN</v>
      </c>
      <c r="F553">
        <v>4759</v>
      </c>
      <c r="G553">
        <v>0.53</v>
      </c>
      <c r="H553">
        <v>0.32595000000000002</v>
      </c>
      <c r="I553">
        <f t="shared" si="17"/>
        <v>1</v>
      </c>
    </row>
    <row r="554" spans="2:9" x14ac:dyDescent="0.25">
      <c r="B554">
        <v>25260</v>
      </c>
      <c r="C554" t="s">
        <v>926</v>
      </c>
      <c r="D554" t="s">
        <v>950</v>
      </c>
      <c r="E554" t="str">
        <f t="shared" si="16"/>
        <v>CUNDINAMARCA - EL ROSAL</v>
      </c>
      <c r="F554">
        <v>18847</v>
      </c>
      <c r="G554">
        <v>24.38</v>
      </c>
      <c r="H554">
        <v>14.993699999999999</v>
      </c>
      <c r="I554">
        <f t="shared" si="17"/>
        <v>2</v>
      </c>
    </row>
    <row r="555" spans="2:9" x14ac:dyDescent="0.25">
      <c r="B555">
        <v>25269</v>
      </c>
      <c r="C555" t="s">
        <v>926</v>
      </c>
      <c r="D555" t="s">
        <v>951</v>
      </c>
      <c r="E555" t="str">
        <f t="shared" si="16"/>
        <v>CUNDINAMARCA - FACATATIVÁ</v>
      </c>
      <c r="F555">
        <v>141762</v>
      </c>
      <c r="G555">
        <v>91.81</v>
      </c>
      <c r="H555">
        <v>56.463149999999999</v>
      </c>
      <c r="I555">
        <f t="shared" si="17"/>
        <v>3</v>
      </c>
    </row>
    <row r="556" spans="2:9" x14ac:dyDescent="0.25">
      <c r="B556">
        <v>25279</v>
      </c>
      <c r="C556" t="s">
        <v>926</v>
      </c>
      <c r="D556" t="s">
        <v>952</v>
      </c>
      <c r="E556" t="str">
        <f t="shared" si="16"/>
        <v>CUNDINAMARCA - FÓMEQUE</v>
      </c>
      <c r="F556">
        <v>12227</v>
      </c>
      <c r="G556">
        <v>2.83</v>
      </c>
      <c r="H556">
        <v>1.7404500000000001</v>
      </c>
      <c r="I556">
        <f t="shared" si="17"/>
        <v>1</v>
      </c>
    </row>
    <row r="557" spans="2:9" x14ac:dyDescent="0.25">
      <c r="B557">
        <v>25281</v>
      </c>
      <c r="C557" t="s">
        <v>926</v>
      </c>
      <c r="D557" t="s">
        <v>953</v>
      </c>
      <c r="E557" t="str">
        <f t="shared" si="16"/>
        <v>CUNDINAMARCA - FOSCA</v>
      </c>
      <c r="F557">
        <v>7968</v>
      </c>
      <c r="G557">
        <v>0.77</v>
      </c>
      <c r="H557">
        <v>0.47355000000000003</v>
      </c>
      <c r="I557">
        <f t="shared" si="17"/>
        <v>1</v>
      </c>
    </row>
    <row r="558" spans="2:9" x14ac:dyDescent="0.25">
      <c r="B558">
        <v>25286</v>
      </c>
      <c r="C558" t="s">
        <v>926</v>
      </c>
      <c r="D558" t="s">
        <v>954</v>
      </c>
      <c r="E558" t="str">
        <f t="shared" si="16"/>
        <v>CUNDINAMARCA - FUNZA</v>
      </c>
      <c r="F558">
        <v>80937</v>
      </c>
      <c r="G558">
        <v>66.87</v>
      </c>
      <c r="H558">
        <v>41.125050000000002</v>
      </c>
      <c r="I558">
        <f t="shared" si="17"/>
        <v>2</v>
      </c>
    </row>
    <row r="559" spans="2:9" x14ac:dyDescent="0.25">
      <c r="B559">
        <v>25288</v>
      </c>
      <c r="C559" t="s">
        <v>926</v>
      </c>
      <c r="D559" t="s">
        <v>955</v>
      </c>
      <c r="E559" t="str">
        <f t="shared" si="16"/>
        <v>CUNDINAMARCA - FÚQUENE</v>
      </c>
      <c r="F559">
        <v>5839</v>
      </c>
      <c r="G559">
        <v>0.61</v>
      </c>
      <c r="H559">
        <v>0.37514999999999998</v>
      </c>
      <c r="I559">
        <f t="shared" si="17"/>
        <v>1</v>
      </c>
    </row>
    <row r="560" spans="2:9" x14ac:dyDescent="0.25">
      <c r="B560">
        <v>25290</v>
      </c>
      <c r="C560" t="s">
        <v>926</v>
      </c>
      <c r="D560" t="s">
        <v>956</v>
      </c>
      <c r="E560" t="str">
        <f t="shared" si="16"/>
        <v>CUNDINAMARCA - FUSAGASUGÁ</v>
      </c>
      <c r="F560">
        <v>145039</v>
      </c>
      <c r="G560">
        <v>73.489999999999995</v>
      </c>
      <c r="H560">
        <v>45.196349999999995</v>
      </c>
      <c r="I560">
        <f t="shared" si="17"/>
        <v>2</v>
      </c>
    </row>
    <row r="561" spans="2:9" x14ac:dyDescent="0.25">
      <c r="B561">
        <v>25293</v>
      </c>
      <c r="C561" t="s">
        <v>926</v>
      </c>
      <c r="D561" t="s">
        <v>957</v>
      </c>
      <c r="E561" t="str">
        <f t="shared" si="16"/>
        <v>CUNDINAMARCA - GACHALÁ</v>
      </c>
      <c r="F561">
        <v>5663</v>
      </c>
      <c r="G561">
        <v>0.95</v>
      </c>
      <c r="H561">
        <v>0.58424999999999994</v>
      </c>
      <c r="I561">
        <f t="shared" si="17"/>
        <v>1</v>
      </c>
    </row>
    <row r="562" spans="2:9" x14ac:dyDescent="0.25">
      <c r="B562">
        <v>25295</v>
      </c>
      <c r="C562" t="s">
        <v>926</v>
      </c>
      <c r="D562" t="s">
        <v>958</v>
      </c>
      <c r="E562" t="str">
        <f t="shared" si="16"/>
        <v>CUNDINAMARCA - GACHANCIPÁ</v>
      </c>
      <c r="F562">
        <v>16043</v>
      </c>
      <c r="G562">
        <v>8.01</v>
      </c>
      <c r="H562">
        <v>4.9261499999999998</v>
      </c>
      <c r="I562">
        <f t="shared" si="17"/>
        <v>1</v>
      </c>
    </row>
    <row r="563" spans="2:9" x14ac:dyDescent="0.25">
      <c r="B563">
        <v>25297</v>
      </c>
      <c r="C563" t="s">
        <v>926</v>
      </c>
      <c r="D563" t="s">
        <v>959</v>
      </c>
      <c r="E563" t="str">
        <f t="shared" si="16"/>
        <v>CUNDINAMARCA - GACHETÁ</v>
      </c>
      <c r="F563">
        <v>11383</v>
      </c>
      <c r="G563">
        <v>2.14</v>
      </c>
      <c r="H563">
        <v>1.3161</v>
      </c>
      <c r="I563">
        <f t="shared" si="17"/>
        <v>1</v>
      </c>
    </row>
    <row r="564" spans="2:9" x14ac:dyDescent="0.25">
      <c r="B564">
        <v>25299</v>
      </c>
      <c r="C564" t="s">
        <v>926</v>
      </c>
      <c r="D564" t="s">
        <v>960</v>
      </c>
      <c r="E564" t="str">
        <f t="shared" si="16"/>
        <v>CUNDINAMARCA - GAMA</v>
      </c>
      <c r="F564">
        <v>4063</v>
      </c>
      <c r="G564">
        <v>0.36</v>
      </c>
      <c r="H564">
        <v>0.22139999999999999</v>
      </c>
      <c r="I564">
        <f t="shared" si="17"/>
        <v>1</v>
      </c>
    </row>
    <row r="565" spans="2:9" x14ac:dyDescent="0.25">
      <c r="B565">
        <v>25307</v>
      </c>
      <c r="C565" t="s">
        <v>926</v>
      </c>
      <c r="D565" t="s">
        <v>961</v>
      </c>
      <c r="E565" t="str">
        <f t="shared" si="16"/>
        <v>CUNDINAMARCA - GIRARDOT</v>
      </c>
      <c r="F565">
        <v>107324</v>
      </c>
      <c r="G565">
        <v>97.96</v>
      </c>
      <c r="H565">
        <v>60.245399999999997</v>
      </c>
      <c r="I565">
        <f t="shared" si="17"/>
        <v>3</v>
      </c>
    </row>
    <row r="566" spans="2:9" x14ac:dyDescent="0.25">
      <c r="B566">
        <v>25312</v>
      </c>
      <c r="C566" t="s">
        <v>926</v>
      </c>
      <c r="D566" t="s">
        <v>470</v>
      </c>
      <c r="E566" t="str">
        <f t="shared" si="16"/>
        <v>CUNDINAMARCA - GRANADA</v>
      </c>
      <c r="F566">
        <v>9440</v>
      </c>
      <c r="G566">
        <v>3.27</v>
      </c>
      <c r="H566">
        <v>2.01105</v>
      </c>
      <c r="I566">
        <f t="shared" si="17"/>
        <v>1</v>
      </c>
    </row>
    <row r="567" spans="2:9" x14ac:dyDescent="0.25">
      <c r="B567">
        <v>25317</v>
      </c>
      <c r="C567" t="s">
        <v>926</v>
      </c>
      <c r="D567" t="s">
        <v>962</v>
      </c>
      <c r="E567" t="str">
        <f t="shared" si="16"/>
        <v>CUNDINAMARCA - GUACHETÁ</v>
      </c>
      <c r="F567">
        <v>11335</v>
      </c>
      <c r="G567">
        <v>1.79</v>
      </c>
      <c r="H567">
        <v>1.1008500000000001</v>
      </c>
      <c r="I567">
        <f t="shared" si="17"/>
        <v>1</v>
      </c>
    </row>
    <row r="568" spans="2:9" x14ac:dyDescent="0.25">
      <c r="B568">
        <v>25320</v>
      </c>
      <c r="C568" t="s">
        <v>926</v>
      </c>
      <c r="D568" t="s">
        <v>963</v>
      </c>
      <c r="E568" t="str">
        <f t="shared" si="16"/>
        <v>CUNDINAMARCA - GUADUAS</v>
      </c>
      <c r="F568">
        <v>41142</v>
      </c>
      <c r="G568">
        <v>16.989999999999998</v>
      </c>
      <c r="H568">
        <v>10.448849999999998</v>
      </c>
      <c r="I568">
        <f t="shared" si="17"/>
        <v>2</v>
      </c>
    </row>
    <row r="569" spans="2:9" x14ac:dyDescent="0.25">
      <c r="B569">
        <v>25322</v>
      </c>
      <c r="C569" t="s">
        <v>926</v>
      </c>
      <c r="D569" t="s">
        <v>964</v>
      </c>
      <c r="E569" t="str">
        <f t="shared" si="16"/>
        <v>CUNDINAMARCA - GUASCA</v>
      </c>
      <c r="F569">
        <v>15727</v>
      </c>
      <c r="G569">
        <v>5.48</v>
      </c>
      <c r="H569">
        <v>3.3702000000000001</v>
      </c>
      <c r="I569">
        <f t="shared" si="17"/>
        <v>1</v>
      </c>
    </row>
    <row r="570" spans="2:9" x14ac:dyDescent="0.25">
      <c r="B570">
        <v>25324</v>
      </c>
      <c r="C570" t="s">
        <v>926</v>
      </c>
      <c r="D570" t="s">
        <v>965</v>
      </c>
      <c r="E570" t="str">
        <f t="shared" si="16"/>
        <v>CUNDINAMARCA - GUATAQUÍ</v>
      </c>
      <c r="F570">
        <v>2711</v>
      </c>
      <c r="G570">
        <v>0.74</v>
      </c>
      <c r="H570">
        <v>0.4551</v>
      </c>
      <c r="I570">
        <f t="shared" si="17"/>
        <v>1</v>
      </c>
    </row>
    <row r="571" spans="2:9" x14ac:dyDescent="0.25">
      <c r="B571">
        <v>25326</v>
      </c>
      <c r="C571" t="s">
        <v>926</v>
      </c>
      <c r="D571" t="s">
        <v>966</v>
      </c>
      <c r="E571" t="str">
        <f t="shared" si="16"/>
        <v>CUNDINAMARCA - GUATAVITA</v>
      </c>
      <c r="F571">
        <v>6963</v>
      </c>
      <c r="G571">
        <v>1.79</v>
      </c>
      <c r="H571">
        <v>1.1008500000000001</v>
      </c>
      <c r="I571">
        <f t="shared" si="17"/>
        <v>1</v>
      </c>
    </row>
    <row r="572" spans="2:9" x14ac:dyDescent="0.25">
      <c r="B572">
        <v>25328</v>
      </c>
      <c r="C572" t="s">
        <v>926</v>
      </c>
      <c r="D572" t="s">
        <v>967</v>
      </c>
      <c r="E572" t="str">
        <f t="shared" si="16"/>
        <v>CUNDINAMARCA - GUAYABAL DE SÍQUIMA</v>
      </c>
      <c r="F572">
        <v>3668</v>
      </c>
      <c r="G572">
        <v>0.89</v>
      </c>
      <c r="H572">
        <v>0.54735</v>
      </c>
      <c r="I572">
        <f t="shared" si="17"/>
        <v>1</v>
      </c>
    </row>
    <row r="573" spans="2:9" x14ac:dyDescent="0.25">
      <c r="B573">
        <v>25335</v>
      </c>
      <c r="C573" t="s">
        <v>926</v>
      </c>
      <c r="D573" t="s">
        <v>968</v>
      </c>
      <c r="E573" t="str">
        <f t="shared" si="16"/>
        <v>CUNDINAMARCA - GUAYABETAL</v>
      </c>
      <c r="F573">
        <v>5013</v>
      </c>
      <c r="G573">
        <v>5.94</v>
      </c>
      <c r="H573">
        <v>3.6531000000000002</v>
      </c>
      <c r="I573">
        <f t="shared" si="17"/>
        <v>1</v>
      </c>
    </row>
    <row r="574" spans="2:9" x14ac:dyDescent="0.25">
      <c r="B574">
        <v>25339</v>
      </c>
      <c r="C574" t="s">
        <v>926</v>
      </c>
      <c r="D574" t="s">
        <v>969</v>
      </c>
      <c r="E574" t="str">
        <f t="shared" si="16"/>
        <v>CUNDINAMARCA - GUTIÉRREZ</v>
      </c>
      <c r="F574">
        <v>4386</v>
      </c>
      <c r="G574">
        <v>0.56000000000000005</v>
      </c>
      <c r="H574">
        <v>0.34440000000000004</v>
      </c>
      <c r="I574">
        <f t="shared" si="17"/>
        <v>1</v>
      </c>
    </row>
    <row r="575" spans="2:9" x14ac:dyDescent="0.25">
      <c r="B575">
        <v>25368</v>
      </c>
      <c r="C575" t="s">
        <v>926</v>
      </c>
      <c r="D575" t="s">
        <v>970</v>
      </c>
      <c r="E575" t="str">
        <f t="shared" si="16"/>
        <v>CUNDINAMARCA - JERUSALÉN</v>
      </c>
      <c r="F575">
        <v>2660</v>
      </c>
      <c r="G575">
        <v>0.51</v>
      </c>
      <c r="H575">
        <v>0.31364999999999998</v>
      </c>
      <c r="I575">
        <f t="shared" si="17"/>
        <v>1</v>
      </c>
    </row>
    <row r="576" spans="2:9" x14ac:dyDescent="0.25">
      <c r="B576">
        <v>25372</v>
      </c>
      <c r="C576" t="s">
        <v>926</v>
      </c>
      <c r="D576" t="s">
        <v>971</v>
      </c>
      <c r="E576" t="str">
        <f t="shared" si="16"/>
        <v>CUNDINAMARCA - JUNÍN</v>
      </c>
      <c r="F576">
        <v>8720</v>
      </c>
      <c r="G576">
        <v>0.83</v>
      </c>
      <c r="H576">
        <v>0.51044999999999996</v>
      </c>
      <c r="I576">
        <f t="shared" si="17"/>
        <v>1</v>
      </c>
    </row>
    <row r="577" spans="2:9" x14ac:dyDescent="0.25">
      <c r="B577">
        <v>25377</v>
      </c>
      <c r="C577" t="s">
        <v>926</v>
      </c>
      <c r="D577" t="s">
        <v>972</v>
      </c>
      <c r="E577" t="str">
        <f t="shared" si="16"/>
        <v>CUNDINAMARCA - LA CALERA</v>
      </c>
      <c r="F577">
        <v>28908</v>
      </c>
      <c r="G577">
        <v>16.14</v>
      </c>
      <c r="H577">
        <v>9.9260999999999999</v>
      </c>
      <c r="I577">
        <f t="shared" si="17"/>
        <v>1</v>
      </c>
    </row>
    <row r="578" spans="2:9" x14ac:dyDescent="0.25">
      <c r="B578">
        <v>25386</v>
      </c>
      <c r="C578" t="s">
        <v>926</v>
      </c>
      <c r="D578" t="s">
        <v>973</v>
      </c>
      <c r="E578" t="str">
        <f t="shared" si="16"/>
        <v>CUNDINAMARCA - LA MESA</v>
      </c>
      <c r="F578">
        <v>33241</v>
      </c>
      <c r="G578">
        <v>19.91</v>
      </c>
      <c r="H578">
        <v>12.24465</v>
      </c>
      <c r="I578">
        <f t="shared" si="17"/>
        <v>2</v>
      </c>
    </row>
    <row r="579" spans="2:9" x14ac:dyDescent="0.25">
      <c r="B579">
        <v>25394</v>
      </c>
      <c r="C579" t="s">
        <v>926</v>
      </c>
      <c r="D579" t="s">
        <v>974</v>
      </c>
      <c r="E579" t="str">
        <f t="shared" si="16"/>
        <v>CUNDINAMARCA - LA PALMA</v>
      </c>
      <c r="F579">
        <v>11096</v>
      </c>
      <c r="G579">
        <v>1.87</v>
      </c>
      <c r="H579">
        <v>1.15005</v>
      </c>
      <c r="I579">
        <f t="shared" si="17"/>
        <v>1</v>
      </c>
    </row>
    <row r="580" spans="2:9" x14ac:dyDescent="0.25">
      <c r="B580">
        <v>25398</v>
      </c>
      <c r="C580" t="s">
        <v>926</v>
      </c>
      <c r="D580" t="s">
        <v>975</v>
      </c>
      <c r="E580" t="str">
        <f t="shared" ref="E580:E643" si="18">C580&amp;" - "&amp;D580</f>
        <v>CUNDINAMARCA - LA PEÑA</v>
      </c>
      <c r="F580">
        <v>7052</v>
      </c>
      <c r="G580">
        <v>0.82</v>
      </c>
      <c r="H580">
        <v>0.50429999999999997</v>
      </c>
      <c r="I580">
        <f t="shared" ref="I580:I643" si="19">IF(H580&lt;$P$3,$O$3,IF(H580&lt;$P$4,$O$4,IF(H580&lt;$P$5,$O$5,$O$6)))</f>
        <v>1</v>
      </c>
    </row>
    <row r="581" spans="2:9" x14ac:dyDescent="0.25">
      <c r="B581">
        <v>25402</v>
      </c>
      <c r="C581" t="s">
        <v>926</v>
      </c>
      <c r="D581" t="s">
        <v>820</v>
      </c>
      <c r="E581" t="str">
        <f t="shared" si="18"/>
        <v>CUNDINAMARCA - LA VEGA</v>
      </c>
      <c r="F581">
        <v>14571</v>
      </c>
      <c r="G581">
        <v>9.8000000000000007</v>
      </c>
      <c r="H581">
        <v>6.0270000000000001</v>
      </c>
      <c r="I581">
        <f t="shared" si="19"/>
        <v>1</v>
      </c>
    </row>
    <row r="582" spans="2:9" x14ac:dyDescent="0.25">
      <c r="B582">
        <v>25407</v>
      </c>
      <c r="C582" t="s">
        <v>926</v>
      </c>
      <c r="D582" t="s">
        <v>976</v>
      </c>
      <c r="E582" t="str">
        <f t="shared" si="18"/>
        <v>CUNDINAMARCA - LENGUAZAQUE</v>
      </c>
      <c r="F582">
        <v>10427</v>
      </c>
      <c r="G582">
        <v>1.53</v>
      </c>
      <c r="H582">
        <v>0.94094999999999995</v>
      </c>
      <c r="I582">
        <f t="shared" si="19"/>
        <v>1</v>
      </c>
    </row>
    <row r="583" spans="2:9" x14ac:dyDescent="0.25">
      <c r="B583">
        <v>25426</v>
      </c>
      <c r="C583" t="s">
        <v>926</v>
      </c>
      <c r="D583" t="s">
        <v>977</v>
      </c>
      <c r="E583" t="str">
        <f t="shared" si="18"/>
        <v>CUNDINAMARCA - MACHETÁ</v>
      </c>
      <c r="F583">
        <v>6127</v>
      </c>
      <c r="G583">
        <v>1.41</v>
      </c>
      <c r="H583">
        <v>0.86714999999999998</v>
      </c>
      <c r="I583">
        <f t="shared" si="19"/>
        <v>1</v>
      </c>
    </row>
    <row r="584" spans="2:9" x14ac:dyDescent="0.25">
      <c r="B584">
        <v>25430</v>
      </c>
      <c r="C584" t="s">
        <v>926</v>
      </c>
      <c r="D584" t="s">
        <v>978</v>
      </c>
      <c r="E584" t="str">
        <f t="shared" si="18"/>
        <v>CUNDINAMARCA - MADRID</v>
      </c>
      <c r="F584">
        <v>83612</v>
      </c>
      <c r="G584">
        <v>70.03</v>
      </c>
      <c r="H584">
        <v>43.068449999999999</v>
      </c>
      <c r="I584">
        <f t="shared" si="19"/>
        <v>2</v>
      </c>
    </row>
    <row r="585" spans="2:9" x14ac:dyDescent="0.25">
      <c r="B585">
        <v>25436</v>
      </c>
      <c r="C585" t="s">
        <v>926</v>
      </c>
      <c r="D585" t="s">
        <v>979</v>
      </c>
      <c r="E585" t="str">
        <f t="shared" si="18"/>
        <v>CUNDINAMARCA - MANTA</v>
      </c>
      <c r="F585">
        <v>4786</v>
      </c>
      <c r="G585">
        <v>0.56999999999999995</v>
      </c>
      <c r="H585">
        <v>0.35054999999999997</v>
      </c>
      <c r="I585">
        <f t="shared" si="19"/>
        <v>1</v>
      </c>
    </row>
    <row r="586" spans="2:9" x14ac:dyDescent="0.25">
      <c r="B586">
        <v>25438</v>
      </c>
      <c r="C586" t="s">
        <v>926</v>
      </c>
      <c r="D586" t="s">
        <v>980</v>
      </c>
      <c r="E586" t="str">
        <f t="shared" si="18"/>
        <v>CUNDINAMARCA - MEDINA</v>
      </c>
      <c r="F586">
        <v>10205</v>
      </c>
      <c r="G586">
        <v>1.69</v>
      </c>
      <c r="H586">
        <v>1.03935</v>
      </c>
      <c r="I586">
        <f t="shared" si="19"/>
        <v>1</v>
      </c>
    </row>
    <row r="587" spans="2:9" x14ac:dyDescent="0.25">
      <c r="B587">
        <v>25473</v>
      </c>
      <c r="C587" t="s">
        <v>926</v>
      </c>
      <c r="D587" t="s">
        <v>981</v>
      </c>
      <c r="E587" t="str">
        <f t="shared" si="18"/>
        <v>CUNDINAMARCA - MOSQUERA</v>
      </c>
      <c r="F587">
        <v>91282</v>
      </c>
      <c r="G587">
        <v>102.28</v>
      </c>
      <c r="H587">
        <v>62.902200000000001</v>
      </c>
      <c r="I587">
        <f t="shared" si="19"/>
        <v>3</v>
      </c>
    </row>
    <row r="588" spans="2:9" x14ac:dyDescent="0.25">
      <c r="B588">
        <v>25483</v>
      </c>
      <c r="C588" t="s">
        <v>926</v>
      </c>
      <c r="D588" t="s">
        <v>490</v>
      </c>
      <c r="E588" t="str">
        <f t="shared" si="18"/>
        <v>CUNDINAMARCA - NARIÑO</v>
      </c>
      <c r="F588">
        <v>2266</v>
      </c>
      <c r="G588">
        <v>1.39</v>
      </c>
      <c r="H588">
        <v>0.85484999999999989</v>
      </c>
      <c r="I588">
        <f t="shared" si="19"/>
        <v>1</v>
      </c>
    </row>
    <row r="589" spans="2:9" x14ac:dyDescent="0.25">
      <c r="B589">
        <v>25486</v>
      </c>
      <c r="C589" t="s">
        <v>926</v>
      </c>
      <c r="D589" t="s">
        <v>982</v>
      </c>
      <c r="E589" t="str">
        <f t="shared" si="18"/>
        <v>CUNDINAMARCA - NEMOCÓN</v>
      </c>
      <c r="F589">
        <v>14356</v>
      </c>
      <c r="G589">
        <v>3.68</v>
      </c>
      <c r="H589">
        <v>2.2631999999999999</v>
      </c>
      <c r="I589">
        <f t="shared" si="19"/>
        <v>1</v>
      </c>
    </row>
    <row r="590" spans="2:9" x14ac:dyDescent="0.25">
      <c r="B590">
        <v>25488</v>
      </c>
      <c r="C590" t="s">
        <v>926</v>
      </c>
      <c r="D590" t="s">
        <v>983</v>
      </c>
      <c r="E590" t="str">
        <f t="shared" si="18"/>
        <v>CUNDINAMARCA - NILO</v>
      </c>
      <c r="F590">
        <v>20339</v>
      </c>
      <c r="G590">
        <v>12.53</v>
      </c>
      <c r="H590">
        <v>7.7059499999999996</v>
      </c>
      <c r="I590">
        <f t="shared" si="19"/>
        <v>1</v>
      </c>
    </row>
    <row r="591" spans="2:9" x14ac:dyDescent="0.25">
      <c r="B591">
        <v>25489</v>
      </c>
      <c r="C591" t="s">
        <v>926</v>
      </c>
      <c r="D591" t="s">
        <v>984</v>
      </c>
      <c r="E591" t="str">
        <f t="shared" si="18"/>
        <v>CUNDINAMARCA - NIMAIMA</v>
      </c>
      <c r="F591">
        <v>7213</v>
      </c>
      <c r="G591">
        <v>1.25</v>
      </c>
      <c r="H591">
        <v>0.76875000000000004</v>
      </c>
      <c r="I591">
        <f t="shared" si="19"/>
        <v>1</v>
      </c>
    </row>
    <row r="592" spans="2:9" x14ac:dyDescent="0.25">
      <c r="B592">
        <v>25491</v>
      </c>
      <c r="C592" t="s">
        <v>926</v>
      </c>
      <c r="D592" t="s">
        <v>985</v>
      </c>
      <c r="E592" t="str">
        <f t="shared" si="18"/>
        <v>CUNDINAMARCA - NOCAIMA</v>
      </c>
      <c r="F592">
        <v>8211</v>
      </c>
      <c r="G592">
        <v>2.0299999999999998</v>
      </c>
      <c r="H592">
        <v>1.2484499999999998</v>
      </c>
      <c r="I592">
        <f t="shared" si="19"/>
        <v>1</v>
      </c>
    </row>
    <row r="593" spans="2:9" x14ac:dyDescent="0.25">
      <c r="B593">
        <v>25506</v>
      </c>
      <c r="C593" t="s">
        <v>926</v>
      </c>
      <c r="D593" t="s">
        <v>536</v>
      </c>
      <c r="E593" t="str">
        <f t="shared" si="18"/>
        <v>CUNDINAMARCA - VENECIA</v>
      </c>
      <c r="F593">
        <v>4093</v>
      </c>
      <c r="G593">
        <v>0.76</v>
      </c>
      <c r="H593">
        <v>0.46739999999999998</v>
      </c>
      <c r="I593">
        <f t="shared" si="19"/>
        <v>1</v>
      </c>
    </row>
    <row r="594" spans="2:9" x14ac:dyDescent="0.25">
      <c r="B594">
        <v>25513</v>
      </c>
      <c r="C594" t="s">
        <v>926</v>
      </c>
      <c r="D594" t="s">
        <v>986</v>
      </c>
      <c r="E594" t="str">
        <f t="shared" si="18"/>
        <v>CUNDINAMARCA - PACHO</v>
      </c>
      <c r="F594">
        <v>27977</v>
      </c>
      <c r="G594">
        <v>6.67</v>
      </c>
      <c r="H594">
        <v>4.1020500000000002</v>
      </c>
      <c r="I594">
        <f t="shared" si="19"/>
        <v>1</v>
      </c>
    </row>
    <row r="595" spans="2:9" x14ac:dyDescent="0.25">
      <c r="B595">
        <v>25518</v>
      </c>
      <c r="C595" t="s">
        <v>926</v>
      </c>
      <c r="D595" t="s">
        <v>987</v>
      </c>
      <c r="E595" t="str">
        <f t="shared" si="18"/>
        <v>CUNDINAMARCA - PAIME</v>
      </c>
      <c r="F595">
        <v>4167</v>
      </c>
      <c r="G595">
        <v>0.51</v>
      </c>
      <c r="H595">
        <v>0.31364999999999998</v>
      </c>
      <c r="I595">
        <f t="shared" si="19"/>
        <v>1</v>
      </c>
    </row>
    <row r="596" spans="2:9" x14ac:dyDescent="0.25">
      <c r="B596">
        <v>25524</v>
      </c>
      <c r="C596" t="s">
        <v>926</v>
      </c>
      <c r="D596" t="s">
        <v>988</v>
      </c>
      <c r="E596" t="str">
        <f t="shared" si="18"/>
        <v>CUNDINAMARCA - PANDI</v>
      </c>
      <c r="F596">
        <v>5729</v>
      </c>
      <c r="G596">
        <v>1.1399999999999999</v>
      </c>
      <c r="H596">
        <v>0.70109999999999995</v>
      </c>
      <c r="I596">
        <f t="shared" si="19"/>
        <v>1</v>
      </c>
    </row>
    <row r="597" spans="2:9" x14ac:dyDescent="0.25">
      <c r="B597">
        <v>25530</v>
      </c>
      <c r="C597" t="s">
        <v>926</v>
      </c>
      <c r="D597" t="s">
        <v>989</v>
      </c>
      <c r="E597" t="str">
        <f t="shared" si="18"/>
        <v>CUNDINAMARCA - PARATEBUENO</v>
      </c>
      <c r="F597">
        <v>7835</v>
      </c>
      <c r="G597">
        <v>2.94</v>
      </c>
      <c r="H597">
        <v>1.8081</v>
      </c>
      <c r="I597">
        <f t="shared" si="19"/>
        <v>1</v>
      </c>
    </row>
    <row r="598" spans="2:9" x14ac:dyDescent="0.25">
      <c r="B598">
        <v>25535</v>
      </c>
      <c r="C598" t="s">
        <v>926</v>
      </c>
      <c r="D598" t="s">
        <v>990</v>
      </c>
      <c r="E598" t="str">
        <f t="shared" si="18"/>
        <v>CUNDINAMARCA - PASCA</v>
      </c>
      <c r="F598">
        <v>12584</v>
      </c>
      <c r="G598">
        <v>1.84</v>
      </c>
      <c r="H598">
        <v>1.1315999999999999</v>
      </c>
      <c r="I598">
        <f t="shared" si="19"/>
        <v>1</v>
      </c>
    </row>
    <row r="599" spans="2:9" x14ac:dyDescent="0.25">
      <c r="B599">
        <v>25572</v>
      </c>
      <c r="C599" t="s">
        <v>926</v>
      </c>
      <c r="D599" t="s">
        <v>991</v>
      </c>
      <c r="E599" t="str">
        <f t="shared" si="18"/>
        <v>CUNDINAMARCA - PUERTO SALGAR</v>
      </c>
      <c r="F599">
        <v>19996</v>
      </c>
      <c r="G599">
        <v>7.54</v>
      </c>
      <c r="H599">
        <v>4.6371000000000002</v>
      </c>
      <c r="I599">
        <f t="shared" si="19"/>
        <v>1</v>
      </c>
    </row>
    <row r="600" spans="2:9" x14ac:dyDescent="0.25">
      <c r="B600">
        <v>25580</v>
      </c>
      <c r="C600" t="s">
        <v>926</v>
      </c>
      <c r="D600" t="s">
        <v>992</v>
      </c>
      <c r="E600" t="str">
        <f t="shared" si="18"/>
        <v>CUNDINAMARCA - PULÍ</v>
      </c>
      <c r="F600">
        <v>3038</v>
      </c>
      <c r="G600">
        <v>0.28000000000000003</v>
      </c>
      <c r="H600">
        <v>0.17220000000000002</v>
      </c>
      <c r="I600">
        <f t="shared" si="19"/>
        <v>1</v>
      </c>
    </row>
    <row r="601" spans="2:9" x14ac:dyDescent="0.25">
      <c r="B601">
        <v>25592</v>
      </c>
      <c r="C601" t="s">
        <v>926</v>
      </c>
      <c r="D601" t="s">
        <v>993</v>
      </c>
      <c r="E601" t="str">
        <f t="shared" si="18"/>
        <v>CUNDINAMARCA - QUEBRADANEGRA</v>
      </c>
      <c r="F601">
        <v>4761</v>
      </c>
      <c r="G601">
        <v>1.42</v>
      </c>
      <c r="H601">
        <v>0.87329999999999997</v>
      </c>
      <c r="I601">
        <f t="shared" si="19"/>
        <v>1</v>
      </c>
    </row>
    <row r="602" spans="2:9" x14ac:dyDescent="0.25">
      <c r="B602">
        <v>25594</v>
      </c>
      <c r="C602" t="s">
        <v>926</v>
      </c>
      <c r="D602" t="s">
        <v>994</v>
      </c>
      <c r="E602" t="str">
        <f t="shared" si="18"/>
        <v>CUNDINAMARCA - QUETAME</v>
      </c>
      <c r="F602">
        <v>7344</v>
      </c>
      <c r="G602">
        <v>1.22</v>
      </c>
      <c r="H602">
        <v>0.75029999999999997</v>
      </c>
      <c r="I602">
        <f t="shared" si="19"/>
        <v>1</v>
      </c>
    </row>
    <row r="603" spans="2:9" x14ac:dyDescent="0.25">
      <c r="B603">
        <v>25596</v>
      </c>
      <c r="C603" t="s">
        <v>926</v>
      </c>
      <c r="D603" t="s">
        <v>995</v>
      </c>
      <c r="E603" t="str">
        <f t="shared" si="18"/>
        <v>CUNDINAMARCA - QUIPILE</v>
      </c>
      <c r="F603">
        <v>8143</v>
      </c>
      <c r="G603">
        <v>0.8</v>
      </c>
      <c r="H603">
        <v>0.49199999999999999</v>
      </c>
      <c r="I603">
        <f t="shared" si="19"/>
        <v>1</v>
      </c>
    </row>
    <row r="604" spans="2:9" x14ac:dyDescent="0.25">
      <c r="B604">
        <v>25599</v>
      </c>
      <c r="C604" t="s">
        <v>926</v>
      </c>
      <c r="D604" t="s">
        <v>996</v>
      </c>
      <c r="E604" t="str">
        <f t="shared" si="18"/>
        <v>CUNDINAMARCA - APULO</v>
      </c>
      <c r="F604">
        <v>7812</v>
      </c>
      <c r="G604">
        <v>4.0199999999999996</v>
      </c>
      <c r="H604">
        <v>2.4722999999999997</v>
      </c>
      <c r="I604">
        <f t="shared" si="19"/>
        <v>1</v>
      </c>
    </row>
    <row r="605" spans="2:9" x14ac:dyDescent="0.25">
      <c r="B605">
        <v>25612</v>
      </c>
      <c r="C605" t="s">
        <v>926</v>
      </c>
      <c r="D605" t="s">
        <v>997</v>
      </c>
      <c r="E605" t="str">
        <f t="shared" si="18"/>
        <v>CUNDINAMARCA - RICAURTE</v>
      </c>
      <c r="F605">
        <v>9976</v>
      </c>
      <c r="G605">
        <v>15.51</v>
      </c>
      <c r="H605">
        <v>9.5386500000000005</v>
      </c>
      <c r="I605">
        <f t="shared" si="19"/>
        <v>1</v>
      </c>
    </row>
    <row r="606" spans="2:9" x14ac:dyDescent="0.25">
      <c r="B606">
        <v>25645</v>
      </c>
      <c r="C606" t="s">
        <v>926</v>
      </c>
      <c r="D606" t="s">
        <v>998</v>
      </c>
      <c r="E606" t="str">
        <f t="shared" si="18"/>
        <v>CUNDINAMARCA - SAN ANTONIO DEL TEQUENDAMA</v>
      </c>
      <c r="F606">
        <v>13341</v>
      </c>
      <c r="G606">
        <v>3.52</v>
      </c>
      <c r="H606">
        <v>2.1648000000000001</v>
      </c>
      <c r="I606">
        <f t="shared" si="19"/>
        <v>1</v>
      </c>
    </row>
    <row r="607" spans="2:9" x14ac:dyDescent="0.25">
      <c r="B607">
        <v>25649</v>
      </c>
      <c r="C607" t="s">
        <v>926</v>
      </c>
      <c r="D607" t="s">
        <v>999</v>
      </c>
      <c r="E607" t="str">
        <f t="shared" si="18"/>
        <v>CUNDINAMARCA - SAN BERNARDO</v>
      </c>
      <c r="F607">
        <v>10801</v>
      </c>
      <c r="G607">
        <v>1.62</v>
      </c>
      <c r="H607">
        <v>0.99630000000000007</v>
      </c>
      <c r="I607">
        <f t="shared" si="19"/>
        <v>1</v>
      </c>
    </row>
    <row r="608" spans="2:9" x14ac:dyDescent="0.25">
      <c r="B608">
        <v>25653</v>
      </c>
      <c r="C608" t="s">
        <v>926</v>
      </c>
      <c r="D608" t="s">
        <v>1000</v>
      </c>
      <c r="E608" t="str">
        <f t="shared" si="18"/>
        <v>CUNDINAMARCA - SAN CAYETANO</v>
      </c>
      <c r="F608">
        <v>5356</v>
      </c>
      <c r="G608">
        <v>0.39</v>
      </c>
      <c r="H608">
        <v>0.23985000000000001</v>
      </c>
      <c r="I608">
        <f t="shared" si="19"/>
        <v>1</v>
      </c>
    </row>
    <row r="609" spans="2:9" x14ac:dyDescent="0.25">
      <c r="B609">
        <v>25658</v>
      </c>
      <c r="C609" t="s">
        <v>926</v>
      </c>
      <c r="D609" t="s">
        <v>508</v>
      </c>
      <c r="E609" t="str">
        <f t="shared" si="18"/>
        <v>CUNDINAMARCA - SAN FRANCISCO</v>
      </c>
      <c r="F609">
        <v>10157</v>
      </c>
      <c r="G609">
        <v>4.45</v>
      </c>
      <c r="H609">
        <v>2.7367500000000002</v>
      </c>
      <c r="I609">
        <f t="shared" si="19"/>
        <v>1</v>
      </c>
    </row>
    <row r="610" spans="2:9" x14ac:dyDescent="0.25">
      <c r="B610">
        <v>25662</v>
      </c>
      <c r="C610" t="s">
        <v>926</v>
      </c>
      <c r="D610" t="s">
        <v>1001</v>
      </c>
      <c r="E610" t="str">
        <f t="shared" si="18"/>
        <v>CUNDINAMARCA - SAN JUAN DE RIOSECO</v>
      </c>
      <c r="F610">
        <v>9674</v>
      </c>
      <c r="G610">
        <v>3.44</v>
      </c>
      <c r="H610">
        <v>2.1156000000000001</v>
      </c>
      <c r="I610">
        <f t="shared" si="19"/>
        <v>1</v>
      </c>
    </row>
    <row r="611" spans="2:9" x14ac:dyDescent="0.25">
      <c r="B611">
        <v>25718</v>
      </c>
      <c r="C611" t="s">
        <v>926</v>
      </c>
      <c r="D611" t="s">
        <v>1002</v>
      </c>
      <c r="E611" t="str">
        <f t="shared" si="18"/>
        <v>CUNDINAMARCA - SASAIMA</v>
      </c>
      <c r="F611">
        <v>10868</v>
      </c>
      <c r="G611">
        <v>3.43</v>
      </c>
      <c r="H611">
        <v>2.1094500000000003</v>
      </c>
      <c r="I611">
        <f t="shared" si="19"/>
        <v>1</v>
      </c>
    </row>
    <row r="612" spans="2:9" x14ac:dyDescent="0.25">
      <c r="B612">
        <v>25736</v>
      </c>
      <c r="C612" t="s">
        <v>926</v>
      </c>
      <c r="D612" t="s">
        <v>1003</v>
      </c>
      <c r="E612" t="str">
        <f t="shared" si="18"/>
        <v>CUNDINAMARCA - SESQUILÉ</v>
      </c>
      <c r="F612">
        <v>15943</v>
      </c>
      <c r="G612">
        <v>10.31</v>
      </c>
      <c r="H612">
        <v>6.3406500000000001</v>
      </c>
      <c r="I612">
        <f t="shared" si="19"/>
        <v>1</v>
      </c>
    </row>
    <row r="613" spans="2:9" x14ac:dyDescent="0.25">
      <c r="B613">
        <v>25740</v>
      </c>
      <c r="C613" t="s">
        <v>926</v>
      </c>
      <c r="D613" t="s">
        <v>1004</v>
      </c>
      <c r="E613" t="str">
        <f t="shared" si="18"/>
        <v>CUNDINAMARCA - SIBATÉ</v>
      </c>
      <c r="F613">
        <v>41255</v>
      </c>
      <c r="G613">
        <v>21.18</v>
      </c>
      <c r="H613">
        <v>13.025700000000001</v>
      </c>
      <c r="I613">
        <f t="shared" si="19"/>
        <v>2</v>
      </c>
    </row>
    <row r="614" spans="2:9" x14ac:dyDescent="0.25">
      <c r="B614">
        <v>25743</v>
      </c>
      <c r="C614" t="s">
        <v>926</v>
      </c>
      <c r="D614" t="s">
        <v>1005</v>
      </c>
      <c r="E614" t="str">
        <f t="shared" si="18"/>
        <v>CUNDINAMARCA - SILVANIA</v>
      </c>
      <c r="F614">
        <v>22076</v>
      </c>
      <c r="G614">
        <v>6.87</v>
      </c>
      <c r="H614">
        <v>4.2250500000000004</v>
      </c>
      <c r="I614">
        <f t="shared" si="19"/>
        <v>1</v>
      </c>
    </row>
    <row r="615" spans="2:9" x14ac:dyDescent="0.25">
      <c r="B615">
        <v>25745</v>
      </c>
      <c r="C615" t="s">
        <v>926</v>
      </c>
      <c r="D615" t="s">
        <v>1006</v>
      </c>
      <c r="E615" t="str">
        <f t="shared" si="18"/>
        <v>CUNDINAMARCA - SIMIJACA</v>
      </c>
      <c r="F615">
        <v>13967</v>
      </c>
      <c r="G615">
        <v>2.86</v>
      </c>
      <c r="H615">
        <v>1.7588999999999999</v>
      </c>
      <c r="I615">
        <f t="shared" si="19"/>
        <v>1</v>
      </c>
    </row>
    <row r="616" spans="2:9" x14ac:dyDescent="0.25">
      <c r="B616">
        <v>25754</v>
      </c>
      <c r="C616" t="s">
        <v>926</v>
      </c>
      <c r="D616" t="s">
        <v>1007</v>
      </c>
      <c r="E616" t="str">
        <f t="shared" si="18"/>
        <v>CUNDINAMARCA - SOACHA</v>
      </c>
      <c r="F616">
        <v>556268</v>
      </c>
      <c r="G616">
        <v>423.06</v>
      </c>
      <c r="H616">
        <v>260.18189999999998</v>
      </c>
      <c r="I616">
        <f t="shared" si="19"/>
        <v>3</v>
      </c>
    </row>
    <row r="617" spans="2:9" x14ac:dyDescent="0.25">
      <c r="B617">
        <v>25758</v>
      </c>
      <c r="C617" t="s">
        <v>926</v>
      </c>
      <c r="D617" t="s">
        <v>1008</v>
      </c>
      <c r="E617" t="str">
        <f t="shared" si="18"/>
        <v>CUNDINAMARCA - SOPÓ</v>
      </c>
      <c r="F617">
        <v>29120</v>
      </c>
      <c r="G617">
        <v>16.87</v>
      </c>
      <c r="H617">
        <v>10.37505</v>
      </c>
      <c r="I617">
        <f t="shared" si="19"/>
        <v>2</v>
      </c>
    </row>
    <row r="618" spans="2:9" x14ac:dyDescent="0.25">
      <c r="B618">
        <v>25769</v>
      </c>
      <c r="C618" t="s">
        <v>926</v>
      </c>
      <c r="D618" t="s">
        <v>1009</v>
      </c>
      <c r="E618" t="str">
        <f t="shared" si="18"/>
        <v>CUNDINAMARCA - SUBACHOQUE</v>
      </c>
      <c r="F618">
        <v>17387</v>
      </c>
      <c r="G618">
        <v>6.86</v>
      </c>
      <c r="H618">
        <v>4.2189000000000005</v>
      </c>
      <c r="I618">
        <f t="shared" si="19"/>
        <v>1</v>
      </c>
    </row>
    <row r="619" spans="2:9" x14ac:dyDescent="0.25">
      <c r="B619">
        <v>25772</v>
      </c>
      <c r="C619" t="s">
        <v>926</v>
      </c>
      <c r="D619" t="s">
        <v>1010</v>
      </c>
      <c r="E619" t="str">
        <f t="shared" si="18"/>
        <v>CUNDINAMARCA - SUESCA</v>
      </c>
      <c r="F619">
        <v>18741</v>
      </c>
      <c r="G619">
        <v>3.63</v>
      </c>
      <c r="H619">
        <v>2.23245</v>
      </c>
      <c r="I619">
        <f t="shared" si="19"/>
        <v>1</v>
      </c>
    </row>
    <row r="620" spans="2:9" x14ac:dyDescent="0.25">
      <c r="B620">
        <v>25777</v>
      </c>
      <c r="C620" t="s">
        <v>926</v>
      </c>
      <c r="D620" t="s">
        <v>1011</v>
      </c>
      <c r="E620" t="str">
        <f t="shared" si="18"/>
        <v>CUNDINAMARCA - SUPATÁ</v>
      </c>
      <c r="F620">
        <v>5036</v>
      </c>
      <c r="G620">
        <v>1.0900000000000001</v>
      </c>
      <c r="H620">
        <v>0.67035</v>
      </c>
      <c r="I620">
        <f t="shared" si="19"/>
        <v>1</v>
      </c>
    </row>
    <row r="621" spans="2:9" x14ac:dyDescent="0.25">
      <c r="B621">
        <v>25779</v>
      </c>
      <c r="C621" t="s">
        <v>926</v>
      </c>
      <c r="D621" t="s">
        <v>1012</v>
      </c>
      <c r="E621" t="str">
        <f t="shared" si="18"/>
        <v>CUNDINAMARCA - SUSA</v>
      </c>
      <c r="F621">
        <v>13491</v>
      </c>
      <c r="G621">
        <v>0.81</v>
      </c>
      <c r="H621">
        <v>0.49815000000000004</v>
      </c>
      <c r="I621">
        <f t="shared" si="19"/>
        <v>1</v>
      </c>
    </row>
    <row r="622" spans="2:9" x14ac:dyDescent="0.25">
      <c r="B622">
        <v>25781</v>
      </c>
      <c r="C622" t="s">
        <v>926</v>
      </c>
      <c r="D622" t="s">
        <v>1013</v>
      </c>
      <c r="E622" t="str">
        <f t="shared" si="18"/>
        <v>CUNDINAMARCA - SUTATAUSA</v>
      </c>
      <c r="F622">
        <v>5885</v>
      </c>
      <c r="G622">
        <v>1.1399999999999999</v>
      </c>
      <c r="H622">
        <v>0.70109999999999995</v>
      </c>
      <c r="I622">
        <f t="shared" si="19"/>
        <v>1</v>
      </c>
    </row>
    <row r="623" spans="2:9" x14ac:dyDescent="0.25">
      <c r="B623">
        <v>25785</v>
      </c>
      <c r="C623" t="s">
        <v>926</v>
      </c>
      <c r="D623" t="s">
        <v>1014</v>
      </c>
      <c r="E623" t="str">
        <f t="shared" si="18"/>
        <v>CUNDINAMARCA - TABIO</v>
      </c>
      <c r="F623">
        <v>29731</v>
      </c>
      <c r="G623">
        <v>8.44</v>
      </c>
      <c r="H623">
        <v>5.1905999999999999</v>
      </c>
      <c r="I623">
        <f t="shared" si="19"/>
        <v>1</v>
      </c>
    </row>
    <row r="624" spans="2:9" x14ac:dyDescent="0.25">
      <c r="B624">
        <v>25793</v>
      </c>
      <c r="C624" t="s">
        <v>926</v>
      </c>
      <c r="D624" t="s">
        <v>1015</v>
      </c>
      <c r="E624" t="str">
        <f t="shared" si="18"/>
        <v>CUNDINAMARCA - TAUSA</v>
      </c>
      <c r="F624">
        <v>9197</v>
      </c>
      <c r="G624">
        <v>0.97</v>
      </c>
      <c r="H624">
        <v>0.59655000000000002</v>
      </c>
      <c r="I624">
        <f t="shared" si="19"/>
        <v>1</v>
      </c>
    </row>
    <row r="625" spans="2:9" x14ac:dyDescent="0.25">
      <c r="B625">
        <v>25797</v>
      </c>
      <c r="C625" t="s">
        <v>926</v>
      </c>
      <c r="D625" t="s">
        <v>1016</v>
      </c>
      <c r="E625" t="str">
        <f t="shared" si="18"/>
        <v>CUNDINAMARCA - TENA</v>
      </c>
      <c r="F625">
        <v>9507</v>
      </c>
      <c r="G625">
        <v>4.3600000000000003</v>
      </c>
      <c r="H625">
        <v>2.6814</v>
      </c>
      <c r="I625">
        <f t="shared" si="19"/>
        <v>1</v>
      </c>
    </row>
    <row r="626" spans="2:9" x14ac:dyDescent="0.25">
      <c r="B626">
        <v>25799</v>
      </c>
      <c r="C626" t="s">
        <v>926</v>
      </c>
      <c r="D626" t="s">
        <v>1017</v>
      </c>
      <c r="E626" t="str">
        <f t="shared" si="18"/>
        <v>CUNDINAMARCA - TENJO</v>
      </c>
      <c r="F626">
        <v>20269</v>
      </c>
      <c r="G626">
        <v>12.75</v>
      </c>
      <c r="H626">
        <v>7.8412499999999996</v>
      </c>
      <c r="I626">
        <f t="shared" si="19"/>
        <v>1</v>
      </c>
    </row>
    <row r="627" spans="2:9" x14ac:dyDescent="0.25">
      <c r="B627">
        <v>25805</v>
      </c>
      <c r="C627" t="s">
        <v>926</v>
      </c>
      <c r="D627" t="s">
        <v>1018</v>
      </c>
      <c r="E627" t="str">
        <f t="shared" si="18"/>
        <v>CUNDINAMARCA - TIBACUY</v>
      </c>
      <c r="F627">
        <v>4839</v>
      </c>
      <c r="G627">
        <v>0.72</v>
      </c>
      <c r="H627">
        <v>0.44279999999999997</v>
      </c>
      <c r="I627">
        <f t="shared" si="19"/>
        <v>1</v>
      </c>
    </row>
    <row r="628" spans="2:9" x14ac:dyDescent="0.25">
      <c r="B628">
        <v>25807</v>
      </c>
      <c r="C628" t="s">
        <v>926</v>
      </c>
      <c r="D628" t="s">
        <v>1019</v>
      </c>
      <c r="E628" t="str">
        <f t="shared" si="18"/>
        <v>CUNDINAMARCA - TIBIRITA</v>
      </c>
      <c r="F628">
        <v>2931</v>
      </c>
      <c r="G628">
        <v>0.4</v>
      </c>
      <c r="H628">
        <v>0.246</v>
      </c>
      <c r="I628">
        <f t="shared" si="19"/>
        <v>1</v>
      </c>
    </row>
    <row r="629" spans="2:9" x14ac:dyDescent="0.25">
      <c r="B629">
        <v>25815</v>
      </c>
      <c r="C629" t="s">
        <v>926</v>
      </c>
      <c r="D629" t="s">
        <v>1020</v>
      </c>
      <c r="E629" t="str">
        <f t="shared" si="18"/>
        <v>CUNDINAMARCA - TOCAIMA</v>
      </c>
      <c r="F629">
        <v>18790</v>
      </c>
      <c r="G629">
        <v>9.5399999999999991</v>
      </c>
      <c r="H629">
        <v>5.8670999999999998</v>
      </c>
      <c r="I629">
        <f t="shared" si="19"/>
        <v>1</v>
      </c>
    </row>
    <row r="630" spans="2:9" x14ac:dyDescent="0.25">
      <c r="B630">
        <v>25817</v>
      </c>
      <c r="C630" t="s">
        <v>926</v>
      </c>
      <c r="D630" t="s">
        <v>1021</v>
      </c>
      <c r="E630" t="str">
        <f t="shared" si="18"/>
        <v>CUNDINAMARCA - TOCANCIPÁ</v>
      </c>
      <c r="F630">
        <v>35439</v>
      </c>
      <c r="G630">
        <v>29.9</v>
      </c>
      <c r="H630">
        <v>18.388500000000001</v>
      </c>
      <c r="I630">
        <f t="shared" si="19"/>
        <v>2</v>
      </c>
    </row>
    <row r="631" spans="2:9" x14ac:dyDescent="0.25">
      <c r="B631">
        <v>25823</v>
      </c>
      <c r="C631" t="s">
        <v>926</v>
      </c>
      <c r="D631" t="s">
        <v>1022</v>
      </c>
      <c r="E631" t="str">
        <f t="shared" si="18"/>
        <v>CUNDINAMARCA - TOPAIPÍ</v>
      </c>
      <c r="F631">
        <v>4482</v>
      </c>
      <c r="G631">
        <v>0.26</v>
      </c>
      <c r="H631">
        <v>0.15990000000000001</v>
      </c>
      <c r="I631">
        <f t="shared" si="19"/>
        <v>1</v>
      </c>
    </row>
    <row r="632" spans="2:9" x14ac:dyDescent="0.25">
      <c r="B632">
        <v>25839</v>
      </c>
      <c r="C632" t="s">
        <v>926</v>
      </c>
      <c r="D632" t="s">
        <v>1023</v>
      </c>
      <c r="E632" t="str">
        <f t="shared" si="18"/>
        <v>CUNDINAMARCA - UBALÁ</v>
      </c>
      <c r="F632">
        <v>10209</v>
      </c>
      <c r="G632">
        <v>1.17</v>
      </c>
      <c r="H632">
        <v>0.71954999999999991</v>
      </c>
      <c r="I632">
        <f t="shared" si="19"/>
        <v>1</v>
      </c>
    </row>
    <row r="633" spans="2:9" x14ac:dyDescent="0.25">
      <c r="B633">
        <v>25841</v>
      </c>
      <c r="C633" t="s">
        <v>926</v>
      </c>
      <c r="D633" t="s">
        <v>1024</v>
      </c>
      <c r="E633" t="str">
        <f t="shared" si="18"/>
        <v>CUNDINAMARCA - UBAQUE</v>
      </c>
      <c r="F633">
        <v>5887</v>
      </c>
      <c r="G633">
        <v>1.06</v>
      </c>
      <c r="H633">
        <v>0.65190000000000003</v>
      </c>
      <c r="I633">
        <f t="shared" si="19"/>
        <v>1</v>
      </c>
    </row>
    <row r="634" spans="2:9" x14ac:dyDescent="0.25">
      <c r="B634">
        <v>25843</v>
      </c>
      <c r="C634" t="s">
        <v>926</v>
      </c>
      <c r="D634" t="s">
        <v>1025</v>
      </c>
      <c r="E634" t="str">
        <f t="shared" si="18"/>
        <v>CUNDINAMARCA - VILLA DE SAN DIEGO DE UBATÉ</v>
      </c>
      <c r="F634">
        <v>39568</v>
      </c>
      <c r="G634">
        <v>20.96</v>
      </c>
      <c r="H634">
        <v>12.8904</v>
      </c>
      <c r="I634">
        <f t="shared" si="19"/>
        <v>2</v>
      </c>
    </row>
    <row r="635" spans="2:9" x14ac:dyDescent="0.25">
      <c r="B635">
        <v>25845</v>
      </c>
      <c r="C635" t="s">
        <v>926</v>
      </c>
      <c r="D635" t="s">
        <v>1026</v>
      </c>
      <c r="E635" t="str">
        <f t="shared" si="18"/>
        <v>CUNDINAMARCA - UNE</v>
      </c>
      <c r="F635">
        <v>9681</v>
      </c>
      <c r="G635">
        <v>1.75</v>
      </c>
      <c r="H635">
        <v>1.0762499999999999</v>
      </c>
      <c r="I635">
        <f t="shared" si="19"/>
        <v>1</v>
      </c>
    </row>
    <row r="636" spans="2:9" x14ac:dyDescent="0.25">
      <c r="B636">
        <v>25851</v>
      </c>
      <c r="C636" t="s">
        <v>926</v>
      </c>
      <c r="D636" t="s">
        <v>1027</v>
      </c>
      <c r="E636" t="str">
        <f t="shared" si="18"/>
        <v>CUNDINAMARCA - ÚTICA</v>
      </c>
      <c r="F636">
        <v>5042</v>
      </c>
      <c r="G636">
        <v>1.79</v>
      </c>
      <c r="H636">
        <v>1.1008500000000001</v>
      </c>
      <c r="I636">
        <f t="shared" si="19"/>
        <v>1</v>
      </c>
    </row>
    <row r="637" spans="2:9" x14ac:dyDescent="0.25">
      <c r="B637">
        <v>25862</v>
      </c>
      <c r="C637" t="s">
        <v>926</v>
      </c>
      <c r="D637" t="s">
        <v>1028</v>
      </c>
      <c r="E637" t="str">
        <f t="shared" si="18"/>
        <v>CUNDINAMARCA - VERGARA</v>
      </c>
      <c r="F637">
        <v>7731</v>
      </c>
      <c r="G637">
        <v>0.96</v>
      </c>
      <c r="H637">
        <v>0.59039999999999992</v>
      </c>
      <c r="I637">
        <f t="shared" si="19"/>
        <v>1</v>
      </c>
    </row>
    <row r="638" spans="2:9" x14ac:dyDescent="0.25">
      <c r="B638">
        <v>25867</v>
      </c>
      <c r="C638" t="s">
        <v>926</v>
      </c>
      <c r="D638" t="s">
        <v>1029</v>
      </c>
      <c r="E638" t="str">
        <f t="shared" si="18"/>
        <v>CUNDINAMARCA - VIANÍ</v>
      </c>
      <c r="F638">
        <v>4239</v>
      </c>
      <c r="G638">
        <v>1</v>
      </c>
      <c r="H638">
        <v>0.61499999999999999</v>
      </c>
      <c r="I638">
        <f t="shared" si="19"/>
        <v>1</v>
      </c>
    </row>
    <row r="639" spans="2:9" x14ac:dyDescent="0.25">
      <c r="B639">
        <v>25871</v>
      </c>
      <c r="C639" t="s">
        <v>926</v>
      </c>
      <c r="D639" t="s">
        <v>1030</v>
      </c>
      <c r="E639" t="str">
        <f t="shared" si="18"/>
        <v>CUNDINAMARCA - VILLAGÓMEZ</v>
      </c>
      <c r="F639">
        <v>2171</v>
      </c>
      <c r="G639">
        <v>0.28000000000000003</v>
      </c>
      <c r="H639">
        <v>0.17220000000000002</v>
      </c>
      <c r="I639">
        <f t="shared" si="19"/>
        <v>1</v>
      </c>
    </row>
    <row r="640" spans="2:9" x14ac:dyDescent="0.25">
      <c r="B640">
        <v>25873</v>
      </c>
      <c r="C640" t="s">
        <v>926</v>
      </c>
      <c r="D640" t="s">
        <v>1031</v>
      </c>
      <c r="E640" t="str">
        <f t="shared" si="18"/>
        <v>CUNDINAMARCA - VILLAPINZÓN</v>
      </c>
      <c r="F640">
        <v>21049</v>
      </c>
      <c r="G640">
        <v>4.33</v>
      </c>
      <c r="H640">
        <v>2.6629499999999999</v>
      </c>
      <c r="I640">
        <f t="shared" si="19"/>
        <v>1</v>
      </c>
    </row>
    <row r="641" spans="2:9" x14ac:dyDescent="0.25">
      <c r="B641">
        <v>25875</v>
      </c>
      <c r="C641" t="s">
        <v>926</v>
      </c>
      <c r="D641" t="s">
        <v>1032</v>
      </c>
      <c r="E641" t="str">
        <f t="shared" si="18"/>
        <v>CUNDINAMARCA - VILLETA</v>
      </c>
      <c r="F641">
        <v>25617</v>
      </c>
      <c r="G641">
        <v>18.760000000000002</v>
      </c>
      <c r="H641">
        <v>11.537400000000002</v>
      </c>
      <c r="I641">
        <f t="shared" si="19"/>
        <v>2</v>
      </c>
    </row>
    <row r="642" spans="2:9" x14ac:dyDescent="0.25">
      <c r="B642">
        <v>25878</v>
      </c>
      <c r="C642" t="s">
        <v>926</v>
      </c>
      <c r="D642" t="s">
        <v>1033</v>
      </c>
      <c r="E642" t="str">
        <f t="shared" si="18"/>
        <v>CUNDINAMARCA - VIOTÁ</v>
      </c>
      <c r="F642">
        <v>13317</v>
      </c>
      <c r="G642">
        <v>3.77</v>
      </c>
      <c r="H642">
        <v>2.3185500000000001</v>
      </c>
      <c r="I642">
        <f t="shared" si="19"/>
        <v>1</v>
      </c>
    </row>
    <row r="643" spans="2:9" x14ac:dyDescent="0.25">
      <c r="B643">
        <v>25885</v>
      </c>
      <c r="C643" t="s">
        <v>926</v>
      </c>
      <c r="D643" t="s">
        <v>1034</v>
      </c>
      <c r="E643" t="str">
        <f t="shared" si="18"/>
        <v>CUNDINAMARCA - YACOPÍ</v>
      </c>
      <c r="F643">
        <v>17160</v>
      </c>
      <c r="G643">
        <v>1.88</v>
      </c>
      <c r="H643">
        <v>1.1561999999999999</v>
      </c>
      <c r="I643">
        <f t="shared" si="19"/>
        <v>1</v>
      </c>
    </row>
    <row r="644" spans="2:9" x14ac:dyDescent="0.25">
      <c r="B644">
        <v>25898</v>
      </c>
      <c r="C644" t="s">
        <v>926</v>
      </c>
      <c r="D644" t="s">
        <v>1035</v>
      </c>
      <c r="E644" t="str">
        <f t="shared" ref="E644:E707" si="20">C644&amp;" - "&amp;D644</f>
        <v>CUNDINAMARCA - ZIPACÓN</v>
      </c>
      <c r="F644">
        <v>5808</v>
      </c>
      <c r="G644">
        <v>1.32</v>
      </c>
      <c r="H644">
        <v>0.81180000000000008</v>
      </c>
      <c r="I644">
        <f t="shared" ref="I644:I707" si="21">IF(H644&lt;$P$3,$O$3,IF(H644&lt;$P$4,$O$4,IF(H644&lt;$P$5,$O$5,$O$6)))</f>
        <v>1</v>
      </c>
    </row>
    <row r="645" spans="2:9" x14ac:dyDescent="0.25">
      <c r="B645">
        <v>25899</v>
      </c>
      <c r="C645" t="s">
        <v>926</v>
      </c>
      <c r="D645" t="s">
        <v>1036</v>
      </c>
      <c r="E645" t="str">
        <f t="shared" si="20"/>
        <v>CUNDINAMARCA - ZIPAQUIRÁ</v>
      </c>
      <c r="F645">
        <v>130432</v>
      </c>
      <c r="G645">
        <v>75.989999999999995</v>
      </c>
      <c r="H645">
        <v>46.733849999999997</v>
      </c>
      <c r="I645">
        <f t="shared" si="21"/>
        <v>2</v>
      </c>
    </row>
    <row r="646" spans="2:9" x14ac:dyDescent="0.25">
      <c r="B646">
        <v>94001</v>
      </c>
      <c r="C646" t="s">
        <v>1037</v>
      </c>
      <c r="D646" t="s">
        <v>1038</v>
      </c>
      <c r="E646" t="str">
        <f t="shared" si="20"/>
        <v>GUAINÍA - INÍRIDA</v>
      </c>
      <c r="F646">
        <v>20478</v>
      </c>
      <c r="G646">
        <v>11.87</v>
      </c>
      <c r="H646">
        <v>7.3000499999999997</v>
      </c>
      <c r="I646">
        <f t="shared" si="21"/>
        <v>1</v>
      </c>
    </row>
    <row r="647" spans="2:9" x14ac:dyDescent="0.25">
      <c r="B647">
        <v>94343</v>
      </c>
      <c r="C647" t="s">
        <v>1037</v>
      </c>
      <c r="D647" t="s">
        <v>1039</v>
      </c>
      <c r="E647" t="str">
        <f t="shared" si="20"/>
        <v>GUAINÍA - BARRANCOMINAS</v>
      </c>
      <c r="F647">
        <v>5025</v>
      </c>
      <c r="G647">
        <v>7.96</v>
      </c>
      <c r="H647">
        <v>4.8953999999999995</v>
      </c>
      <c r="I647">
        <f t="shared" si="21"/>
        <v>1</v>
      </c>
    </row>
    <row r="648" spans="2:9" x14ac:dyDescent="0.25">
      <c r="B648">
        <v>94663</v>
      </c>
      <c r="C648" t="s">
        <v>1037</v>
      </c>
      <c r="D648" t="s">
        <v>1040</v>
      </c>
      <c r="E648" t="str">
        <f t="shared" si="20"/>
        <v xml:space="preserve">GUAINÍA - MAPIRIPANA  </v>
      </c>
      <c r="F648">
        <v>2730</v>
      </c>
      <c r="G648">
        <v>1.24488</v>
      </c>
      <c r="H648">
        <v>0.76560119999999998</v>
      </c>
      <c r="I648">
        <f t="shared" si="21"/>
        <v>1</v>
      </c>
    </row>
    <row r="649" spans="2:9" x14ac:dyDescent="0.25">
      <c r="B649">
        <v>94883</v>
      </c>
      <c r="C649" t="s">
        <v>1037</v>
      </c>
      <c r="D649" t="s">
        <v>1041</v>
      </c>
      <c r="E649" t="str">
        <f t="shared" si="20"/>
        <v xml:space="preserve">GUAINÍA - SAN FELIPE  </v>
      </c>
      <c r="F649">
        <v>2398</v>
      </c>
      <c r="G649">
        <v>1.093488</v>
      </c>
      <c r="H649">
        <v>0.67249512</v>
      </c>
      <c r="I649">
        <f t="shared" si="21"/>
        <v>1</v>
      </c>
    </row>
    <row r="650" spans="2:9" x14ac:dyDescent="0.25">
      <c r="B650">
        <v>94884</v>
      </c>
      <c r="C650" t="s">
        <v>1037</v>
      </c>
      <c r="D650" t="s">
        <v>1042</v>
      </c>
      <c r="E650" t="str">
        <f t="shared" si="20"/>
        <v xml:space="preserve">GUAINÍA - PUERTO COLOMBIA  </v>
      </c>
      <c r="F650">
        <v>5132</v>
      </c>
      <c r="G650">
        <v>2.340192</v>
      </c>
      <c r="H650">
        <v>1.4392180800000001</v>
      </c>
      <c r="I650">
        <f t="shared" si="21"/>
        <v>1</v>
      </c>
    </row>
    <row r="651" spans="2:9" x14ac:dyDescent="0.25">
      <c r="B651">
        <v>94885</v>
      </c>
      <c r="C651" t="s">
        <v>1037</v>
      </c>
      <c r="D651" t="s">
        <v>1043</v>
      </c>
      <c r="E651" t="str">
        <f t="shared" si="20"/>
        <v xml:space="preserve">GUAINÍA - LA GUADALUPE  </v>
      </c>
      <c r="F651">
        <v>429</v>
      </c>
      <c r="G651">
        <v>0.19562399999999999</v>
      </c>
      <c r="H651">
        <v>0.12030875999999999</v>
      </c>
      <c r="I651">
        <f t="shared" si="21"/>
        <v>1</v>
      </c>
    </row>
    <row r="652" spans="2:9" x14ac:dyDescent="0.25">
      <c r="B652">
        <v>94886</v>
      </c>
      <c r="C652" t="s">
        <v>1037</v>
      </c>
      <c r="D652" t="s">
        <v>1044</v>
      </c>
      <c r="E652" t="str">
        <f t="shared" si="20"/>
        <v xml:space="preserve">GUAINÍA - CACAHUAL  </v>
      </c>
      <c r="F652">
        <v>2935</v>
      </c>
      <c r="G652">
        <v>1.33836</v>
      </c>
      <c r="H652">
        <v>0.82309140000000003</v>
      </c>
      <c r="I652">
        <f t="shared" si="21"/>
        <v>1</v>
      </c>
    </row>
    <row r="653" spans="2:9" x14ac:dyDescent="0.25">
      <c r="B653">
        <v>94887</v>
      </c>
      <c r="C653" t="s">
        <v>1037</v>
      </c>
      <c r="D653" t="s">
        <v>1045</v>
      </c>
      <c r="E653" t="str">
        <f t="shared" si="20"/>
        <v xml:space="preserve">GUAINÍA - PANA PANA  </v>
      </c>
      <c r="F653">
        <v>3579</v>
      </c>
      <c r="G653">
        <v>1.6320239999999999</v>
      </c>
      <c r="H653">
        <v>1.0036947599999999</v>
      </c>
      <c r="I653">
        <f t="shared" si="21"/>
        <v>1</v>
      </c>
    </row>
    <row r="654" spans="2:9" x14ac:dyDescent="0.25">
      <c r="B654">
        <v>94888</v>
      </c>
      <c r="C654" t="s">
        <v>1037</v>
      </c>
      <c r="D654" t="s">
        <v>1046</v>
      </c>
      <c r="E654" t="str">
        <f t="shared" si="20"/>
        <v xml:space="preserve">GUAINÍA - MORICHAL  </v>
      </c>
      <c r="F654">
        <v>1428</v>
      </c>
      <c r="G654">
        <v>0.65116799999999997</v>
      </c>
      <c r="H654">
        <v>0.40046831999999999</v>
      </c>
      <c r="I654">
        <f t="shared" si="21"/>
        <v>1</v>
      </c>
    </row>
    <row r="655" spans="2:9" x14ac:dyDescent="0.25">
      <c r="B655">
        <v>95001</v>
      </c>
      <c r="C655" t="s">
        <v>1047</v>
      </c>
      <c r="D655" t="s">
        <v>1048</v>
      </c>
      <c r="E655" t="str">
        <f t="shared" si="20"/>
        <v>GUAVIARE - SAN JOSÉ DEL GUAVIARE</v>
      </c>
      <c r="F655">
        <v>68878</v>
      </c>
      <c r="G655">
        <v>35.950000000000003</v>
      </c>
      <c r="H655">
        <v>22.109250000000003</v>
      </c>
      <c r="I655">
        <f t="shared" si="21"/>
        <v>2</v>
      </c>
    </row>
    <row r="656" spans="2:9" x14ac:dyDescent="0.25">
      <c r="B656">
        <v>95025</v>
      </c>
      <c r="C656" t="s">
        <v>1047</v>
      </c>
      <c r="D656" t="s">
        <v>1049</v>
      </c>
      <c r="E656" t="str">
        <f t="shared" si="20"/>
        <v>GUAVIARE - EL RETORNO</v>
      </c>
      <c r="F656">
        <v>24562</v>
      </c>
      <c r="G656">
        <v>1.97</v>
      </c>
      <c r="H656">
        <v>1.2115499999999999</v>
      </c>
      <c r="I656">
        <f t="shared" si="21"/>
        <v>1</v>
      </c>
    </row>
    <row r="657" spans="2:9" x14ac:dyDescent="0.25">
      <c r="B657">
        <v>95200</v>
      </c>
      <c r="C657" t="s">
        <v>1047</v>
      </c>
      <c r="D657" t="s">
        <v>674</v>
      </c>
      <c r="E657" t="str">
        <f t="shared" si="20"/>
        <v>GUAVIARE - MIRAFLORES</v>
      </c>
      <c r="F657">
        <v>15803</v>
      </c>
      <c r="G657">
        <v>1.53</v>
      </c>
      <c r="H657">
        <v>0.94094999999999995</v>
      </c>
      <c r="I657">
        <f t="shared" si="21"/>
        <v>1</v>
      </c>
    </row>
    <row r="658" spans="2:9" x14ac:dyDescent="0.25">
      <c r="B658">
        <v>95015</v>
      </c>
      <c r="C658" t="s">
        <v>1047</v>
      </c>
      <c r="D658" t="s">
        <v>585</v>
      </c>
      <c r="E658" t="str">
        <f t="shared" si="20"/>
        <v>GUAVIARE - CALAMAR</v>
      </c>
      <c r="F658">
        <v>8251</v>
      </c>
      <c r="G658">
        <v>1.61</v>
      </c>
      <c r="H658">
        <v>0.99015000000000009</v>
      </c>
      <c r="I658">
        <f t="shared" si="21"/>
        <v>1</v>
      </c>
    </row>
    <row r="659" spans="2:9" x14ac:dyDescent="0.25">
      <c r="B659">
        <v>41001</v>
      </c>
      <c r="C659" t="s">
        <v>1050</v>
      </c>
      <c r="D659" t="s">
        <v>1051</v>
      </c>
      <c r="E659" t="str">
        <f t="shared" si="20"/>
        <v>HUILA - NEIVA</v>
      </c>
      <c r="F659">
        <v>348964</v>
      </c>
      <c r="G659">
        <v>200.6</v>
      </c>
      <c r="H659">
        <v>123.369</v>
      </c>
      <c r="I659">
        <f t="shared" si="21"/>
        <v>3</v>
      </c>
    </row>
    <row r="660" spans="2:9" x14ac:dyDescent="0.25">
      <c r="B660">
        <v>41006</v>
      </c>
      <c r="C660" t="s">
        <v>1050</v>
      </c>
      <c r="D660" t="s">
        <v>1052</v>
      </c>
      <c r="E660" t="str">
        <f t="shared" si="20"/>
        <v>HUILA - ACEVEDO</v>
      </c>
      <c r="F660">
        <v>35877</v>
      </c>
      <c r="G660">
        <v>4.66</v>
      </c>
      <c r="H660">
        <v>2.8658999999999999</v>
      </c>
      <c r="I660">
        <f t="shared" si="21"/>
        <v>1</v>
      </c>
    </row>
    <row r="661" spans="2:9" x14ac:dyDescent="0.25">
      <c r="B661">
        <v>41013</v>
      </c>
      <c r="C661" t="s">
        <v>1050</v>
      </c>
      <c r="D661" t="s">
        <v>1053</v>
      </c>
      <c r="E661" t="str">
        <f t="shared" si="20"/>
        <v>HUILA - AGRADO</v>
      </c>
      <c r="F661">
        <v>9275</v>
      </c>
      <c r="G661">
        <v>1.23</v>
      </c>
      <c r="H661">
        <v>0.75644999999999996</v>
      </c>
      <c r="I661">
        <f t="shared" si="21"/>
        <v>1</v>
      </c>
    </row>
    <row r="662" spans="2:9" x14ac:dyDescent="0.25">
      <c r="B662">
        <v>41016</v>
      </c>
      <c r="C662" t="s">
        <v>1050</v>
      </c>
      <c r="D662" t="s">
        <v>1054</v>
      </c>
      <c r="E662" t="str">
        <f t="shared" si="20"/>
        <v>HUILA - AIPE</v>
      </c>
      <c r="F662">
        <v>29177</v>
      </c>
      <c r="G662">
        <v>6.35</v>
      </c>
      <c r="H662">
        <v>3.9052499999999997</v>
      </c>
      <c r="I662">
        <f t="shared" si="21"/>
        <v>1</v>
      </c>
    </row>
    <row r="663" spans="2:9" x14ac:dyDescent="0.25">
      <c r="B663">
        <v>41020</v>
      </c>
      <c r="C663" t="s">
        <v>1050</v>
      </c>
      <c r="D663" t="s">
        <v>1055</v>
      </c>
      <c r="E663" t="str">
        <f t="shared" si="20"/>
        <v>HUILA - ALGECIRAS</v>
      </c>
      <c r="F663">
        <v>24708</v>
      </c>
      <c r="G663">
        <v>6.87</v>
      </c>
      <c r="H663">
        <v>4.2250500000000004</v>
      </c>
      <c r="I663">
        <f t="shared" si="21"/>
        <v>1</v>
      </c>
    </row>
    <row r="664" spans="2:9" x14ac:dyDescent="0.25">
      <c r="B664">
        <v>41026</v>
      </c>
      <c r="C664" t="s">
        <v>1050</v>
      </c>
      <c r="D664" t="s">
        <v>1056</v>
      </c>
      <c r="E664" t="str">
        <f t="shared" si="20"/>
        <v>HUILA - ALTAMIRA</v>
      </c>
      <c r="F664">
        <v>4626</v>
      </c>
      <c r="G664">
        <v>2.2200000000000002</v>
      </c>
      <c r="H664">
        <v>1.3653000000000002</v>
      </c>
      <c r="I664">
        <f t="shared" si="21"/>
        <v>1</v>
      </c>
    </row>
    <row r="665" spans="2:9" x14ac:dyDescent="0.25">
      <c r="B665">
        <v>41078</v>
      </c>
      <c r="C665" t="s">
        <v>1050</v>
      </c>
      <c r="D665" t="s">
        <v>1057</v>
      </c>
      <c r="E665" t="str">
        <f t="shared" si="20"/>
        <v>HUILA - BARAYA</v>
      </c>
      <c r="F665">
        <v>9751</v>
      </c>
      <c r="G665">
        <v>2.08</v>
      </c>
      <c r="H665">
        <v>1.2792000000000001</v>
      </c>
      <c r="I665">
        <f t="shared" si="21"/>
        <v>1</v>
      </c>
    </row>
    <row r="666" spans="2:9" x14ac:dyDescent="0.25">
      <c r="B666">
        <v>41132</v>
      </c>
      <c r="C666" t="s">
        <v>1050</v>
      </c>
      <c r="D666" t="s">
        <v>1058</v>
      </c>
      <c r="E666" t="str">
        <f t="shared" si="20"/>
        <v>HUILA - CAMPOALEGRE</v>
      </c>
      <c r="F666">
        <v>34923</v>
      </c>
      <c r="G666">
        <v>14.63</v>
      </c>
      <c r="H666">
        <v>8.9974500000000006</v>
      </c>
      <c r="I666">
        <f t="shared" si="21"/>
        <v>1</v>
      </c>
    </row>
    <row r="667" spans="2:9" x14ac:dyDescent="0.25">
      <c r="B667">
        <v>41206</v>
      </c>
      <c r="C667" t="s">
        <v>1050</v>
      </c>
      <c r="D667" t="s">
        <v>1059</v>
      </c>
      <c r="E667" t="str">
        <f t="shared" si="20"/>
        <v>HUILA - COLOMBIA</v>
      </c>
      <c r="F667">
        <v>12890</v>
      </c>
      <c r="G667">
        <v>1.39</v>
      </c>
      <c r="H667">
        <v>0.85484999999999989</v>
      </c>
      <c r="I667">
        <f t="shared" si="21"/>
        <v>1</v>
      </c>
    </row>
    <row r="668" spans="2:9" x14ac:dyDescent="0.25">
      <c r="B668">
        <v>41244</v>
      </c>
      <c r="C668" t="s">
        <v>1050</v>
      </c>
      <c r="D668" t="s">
        <v>1060</v>
      </c>
      <c r="E668" t="str">
        <f t="shared" si="20"/>
        <v>HUILA - ELÍAS</v>
      </c>
      <c r="F668">
        <v>4206</v>
      </c>
      <c r="G668">
        <v>1.1499999999999999</v>
      </c>
      <c r="H668">
        <v>0.70724999999999993</v>
      </c>
      <c r="I668">
        <f t="shared" si="21"/>
        <v>1</v>
      </c>
    </row>
    <row r="669" spans="2:9" x14ac:dyDescent="0.25">
      <c r="B669">
        <v>41298</v>
      </c>
      <c r="C669" t="s">
        <v>1050</v>
      </c>
      <c r="D669" t="s">
        <v>1061</v>
      </c>
      <c r="E669" t="str">
        <f t="shared" si="20"/>
        <v>HUILA - GARZÓN</v>
      </c>
      <c r="F669">
        <v>96296</v>
      </c>
      <c r="G669">
        <v>28.11</v>
      </c>
      <c r="H669">
        <v>17.287649999999999</v>
      </c>
      <c r="I669">
        <f t="shared" si="21"/>
        <v>2</v>
      </c>
    </row>
    <row r="670" spans="2:9" x14ac:dyDescent="0.25">
      <c r="B670">
        <v>41306</v>
      </c>
      <c r="C670" t="s">
        <v>1050</v>
      </c>
      <c r="D670" t="s">
        <v>1062</v>
      </c>
      <c r="E670" t="str">
        <f t="shared" si="20"/>
        <v>HUILA - GIGANTE</v>
      </c>
      <c r="F670">
        <v>35498</v>
      </c>
      <c r="G670">
        <v>6.96</v>
      </c>
      <c r="H670">
        <v>4.2804000000000002</v>
      </c>
      <c r="I670">
        <f t="shared" si="21"/>
        <v>1</v>
      </c>
    </row>
    <row r="671" spans="2:9" x14ac:dyDescent="0.25">
      <c r="B671">
        <v>41319</v>
      </c>
      <c r="C671" t="s">
        <v>1050</v>
      </c>
      <c r="D671" t="s">
        <v>471</v>
      </c>
      <c r="E671" t="str">
        <f t="shared" si="20"/>
        <v>HUILA - GUADALUPE</v>
      </c>
      <c r="F671">
        <v>22867</v>
      </c>
      <c r="G671">
        <v>2.12</v>
      </c>
      <c r="H671">
        <v>1.3038000000000001</v>
      </c>
      <c r="I671">
        <f t="shared" si="21"/>
        <v>1</v>
      </c>
    </row>
    <row r="672" spans="2:9" x14ac:dyDescent="0.25">
      <c r="B672">
        <v>41349</v>
      </c>
      <c r="C672" t="s">
        <v>1050</v>
      </c>
      <c r="D672" t="s">
        <v>1063</v>
      </c>
      <c r="E672" t="str">
        <f t="shared" si="20"/>
        <v>HUILA - HOBO</v>
      </c>
      <c r="F672">
        <v>7043</v>
      </c>
      <c r="G672">
        <v>3.7</v>
      </c>
      <c r="H672">
        <v>2.2755000000000001</v>
      </c>
      <c r="I672">
        <f t="shared" si="21"/>
        <v>1</v>
      </c>
    </row>
    <row r="673" spans="2:9" x14ac:dyDescent="0.25">
      <c r="B673">
        <v>41357</v>
      </c>
      <c r="C673" t="s">
        <v>1050</v>
      </c>
      <c r="D673" t="s">
        <v>1064</v>
      </c>
      <c r="E673" t="str">
        <f t="shared" si="20"/>
        <v>HUILA - ÍQUIRA</v>
      </c>
      <c r="F673">
        <v>13612</v>
      </c>
      <c r="G673">
        <v>1.68</v>
      </c>
      <c r="H673">
        <v>1.0331999999999999</v>
      </c>
      <c r="I673">
        <f t="shared" si="21"/>
        <v>1</v>
      </c>
    </row>
    <row r="674" spans="2:9" x14ac:dyDescent="0.25">
      <c r="B674">
        <v>41359</v>
      </c>
      <c r="C674" t="s">
        <v>1050</v>
      </c>
      <c r="D674" t="s">
        <v>1065</v>
      </c>
      <c r="E674" t="str">
        <f t="shared" si="20"/>
        <v>HUILA - ISNOS</v>
      </c>
      <c r="F674">
        <v>28530</v>
      </c>
      <c r="G674">
        <v>3.27</v>
      </c>
      <c r="H674">
        <v>2.01105</v>
      </c>
      <c r="I674">
        <f t="shared" si="21"/>
        <v>1</v>
      </c>
    </row>
    <row r="675" spans="2:9" x14ac:dyDescent="0.25">
      <c r="B675">
        <v>41378</v>
      </c>
      <c r="C675" t="s">
        <v>1050</v>
      </c>
      <c r="D675" t="s">
        <v>1066</v>
      </c>
      <c r="E675" t="str">
        <f t="shared" si="20"/>
        <v>HUILA - LA ARGENTINA</v>
      </c>
      <c r="F675">
        <v>15059</v>
      </c>
      <c r="G675">
        <v>1.52</v>
      </c>
      <c r="H675">
        <v>0.93479999999999996</v>
      </c>
      <c r="I675">
        <f t="shared" si="21"/>
        <v>1</v>
      </c>
    </row>
    <row r="676" spans="2:9" x14ac:dyDescent="0.25">
      <c r="B676">
        <v>41396</v>
      </c>
      <c r="C676" t="s">
        <v>1050</v>
      </c>
      <c r="D676" t="s">
        <v>1067</v>
      </c>
      <c r="E676" t="str">
        <f t="shared" si="20"/>
        <v>HUILA - LA PLATA</v>
      </c>
      <c r="F676">
        <v>67220</v>
      </c>
      <c r="G676">
        <v>14.69</v>
      </c>
      <c r="H676">
        <v>9.0343499999999999</v>
      </c>
      <c r="I676">
        <f t="shared" si="21"/>
        <v>1</v>
      </c>
    </row>
    <row r="677" spans="2:9" x14ac:dyDescent="0.25">
      <c r="B677">
        <v>41483</v>
      </c>
      <c r="C677" t="s">
        <v>1050</v>
      </c>
      <c r="D677" t="s">
        <v>1068</v>
      </c>
      <c r="E677" t="str">
        <f t="shared" si="20"/>
        <v>HUILA - NÁTAGA</v>
      </c>
      <c r="F677">
        <v>6543</v>
      </c>
      <c r="G677">
        <v>1.24</v>
      </c>
      <c r="H677">
        <v>0.76259999999999994</v>
      </c>
      <c r="I677">
        <f t="shared" si="21"/>
        <v>1</v>
      </c>
    </row>
    <row r="678" spans="2:9" x14ac:dyDescent="0.25">
      <c r="B678">
        <v>41503</v>
      </c>
      <c r="C678" t="s">
        <v>1050</v>
      </c>
      <c r="D678" t="s">
        <v>1069</v>
      </c>
      <c r="E678" t="str">
        <f t="shared" si="20"/>
        <v>HUILA - OPORAPA</v>
      </c>
      <c r="F678">
        <v>14812</v>
      </c>
      <c r="G678">
        <v>0.97</v>
      </c>
      <c r="H678">
        <v>0.59655000000000002</v>
      </c>
      <c r="I678">
        <f t="shared" si="21"/>
        <v>1</v>
      </c>
    </row>
    <row r="679" spans="2:9" x14ac:dyDescent="0.25">
      <c r="B679">
        <v>41518</v>
      </c>
      <c r="C679" t="s">
        <v>1050</v>
      </c>
      <c r="D679" t="s">
        <v>1070</v>
      </c>
      <c r="E679" t="str">
        <f t="shared" si="20"/>
        <v>HUILA - PAICOL</v>
      </c>
      <c r="F679">
        <v>5734</v>
      </c>
      <c r="G679">
        <v>1.31</v>
      </c>
      <c r="H679">
        <v>0.80564999999999998</v>
      </c>
      <c r="I679">
        <f t="shared" si="21"/>
        <v>1</v>
      </c>
    </row>
    <row r="680" spans="2:9" x14ac:dyDescent="0.25">
      <c r="B680">
        <v>41524</v>
      </c>
      <c r="C680" t="s">
        <v>1050</v>
      </c>
      <c r="D680" t="s">
        <v>1071</v>
      </c>
      <c r="E680" t="str">
        <f t="shared" si="20"/>
        <v>HUILA - PALERMO</v>
      </c>
      <c r="F680">
        <v>34987</v>
      </c>
      <c r="G680">
        <v>11.88</v>
      </c>
      <c r="H680">
        <v>7.3062000000000005</v>
      </c>
      <c r="I680">
        <f t="shared" si="21"/>
        <v>1</v>
      </c>
    </row>
    <row r="681" spans="2:9" x14ac:dyDescent="0.25">
      <c r="B681">
        <v>41530</v>
      </c>
      <c r="C681" t="s">
        <v>1050</v>
      </c>
      <c r="D681" t="s">
        <v>760</v>
      </c>
      <c r="E681" t="str">
        <f t="shared" si="20"/>
        <v>HUILA - PALESTINA</v>
      </c>
      <c r="F681">
        <v>12075</v>
      </c>
      <c r="G681">
        <v>1.05</v>
      </c>
      <c r="H681">
        <v>0.64575000000000005</v>
      </c>
      <c r="I681">
        <f t="shared" si="21"/>
        <v>1</v>
      </c>
    </row>
    <row r="682" spans="2:9" x14ac:dyDescent="0.25">
      <c r="B682">
        <v>41548</v>
      </c>
      <c r="C682" t="s">
        <v>1050</v>
      </c>
      <c r="D682" t="s">
        <v>1072</v>
      </c>
      <c r="E682" t="str">
        <f t="shared" si="20"/>
        <v>HUILA - PITAL</v>
      </c>
      <c r="F682">
        <v>14030</v>
      </c>
      <c r="G682">
        <v>1.84</v>
      </c>
      <c r="H682">
        <v>1.1315999999999999</v>
      </c>
      <c r="I682">
        <f t="shared" si="21"/>
        <v>1</v>
      </c>
    </row>
    <row r="683" spans="2:9" x14ac:dyDescent="0.25">
      <c r="B683">
        <v>41551</v>
      </c>
      <c r="C683" t="s">
        <v>1050</v>
      </c>
      <c r="D683" t="s">
        <v>1073</v>
      </c>
      <c r="E683" t="str">
        <f t="shared" si="20"/>
        <v>HUILA - PITALITO</v>
      </c>
      <c r="F683">
        <v>135711</v>
      </c>
      <c r="G683">
        <v>52.19</v>
      </c>
      <c r="H683">
        <v>32.096849999999996</v>
      </c>
      <c r="I683">
        <f t="shared" si="21"/>
        <v>2</v>
      </c>
    </row>
    <row r="684" spans="2:9" x14ac:dyDescent="0.25">
      <c r="B684">
        <v>41615</v>
      </c>
      <c r="C684" t="s">
        <v>1050</v>
      </c>
      <c r="D684" t="s">
        <v>1074</v>
      </c>
      <c r="E684" t="str">
        <f t="shared" si="20"/>
        <v>HUILA - RIVERA</v>
      </c>
      <c r="F684">
        <v>19566</v>
      </c>
      <c r="G684">
        <v>17.62</v>
      </c>
      <c r="H684">
        <v>10.8363</v>
      </c>
      <c r="I684">
        <f t="shared" si="21"/>
        <v>2</v>
      </c>
    </row>
    <row r="685" spans="2:9" x14ac:dyDescent="0.25">
      <c r="B685">
        <v>41660</v>
      </c>
      <c r="C685" t="s">
        <v>1050</v>
      </c>
      <c r="D685" t="s">
        <v>1075</v>
      </c>
      <c r="E685" t="str">
        <f t="shared" si="20"/>
        <v>HUILA - SALADOBLANCO</v>
      </c>
      <c r="F685">
        <v>11930</v>
      </c>
      <c r="G685">
        <v>1.1399999999999999</v>
      </c>
      <c r="H685">
        <v>0.70109999999999995</v>
      </c>
      <c r="I685">
        <f t="shared" si="21"/>
        <v>1</v>
      </c>
    </row>
    <row r="686" spans="2:9" x14ac:dyDescent="0.25">
      <c r="B686">
        <v>41668</v>
      </c>
      <c r="C686" t="s">
        <v>1050</v>
      </c>
      <c r="D686" t="s">
        <v>1076</v>
      </c>
      <c r="E686" t="str">
        <f t="shared" si="20"/>
        <v>HUILA - SAN AGUSTÍN</v>
      </c>
      <c r="F686">
        <v>34120</v>
      </c>
      <c r="G686">
        <v>3.32</v>
      </c>
      <c r="H686">
        <v>2.0417999999999998</v>
      </c>
      <c r="I686">
        <f t="shared" si="21"/>
        <v>1</v>
      </c>
    </row>
    <row r="687" spans="2:9" x14ac:dyDescent="0.25">
      <c r="B687">
        <v>41676</v>
      </c>
      <c r="C687" t="s">
        <v>1050</v>
      </c>
      <c r="D687" t="s">
        <v>709</v>
      </c>
      <c r="E687" t="str">
        <f t="shared" si="20"/>
        <v>HUILA - SANTA MARÍA</v>
      </c>
      <c r="F687">
        <v>11744</v>
      </c>
      <c r="G687">
        <v>1.64</v>
      </c>
      <c r="H687">
        <v>1.0085999999999999</v>
      </c>
      <c r="I687">
        <f t="shared" si="21"/>
        <v>1</v>
      </c>
    </row>
    <row r="688" spans="2:9" x14ac:dyDescent="0.25">
      <c r="B688">
        <v>41770</v>
      </c>
      <c r="C688" t="s">
        <v>1050</v>
      </c>
      <c r="D688" t="s">
        <v>1077</v>
      </c>
      <c r="E688" t="str">
        <f t="shared" si="20"/>
        <v>HUILA - SUAZA</v>
      </c>
      <c r="F688">
        <v>21119</v>
      </c>
      <c r="G688">
        <v>4.1900000000000004</v>
      </c>
      <c r="H688">
        <v>2.5768500000000003</v>
      </c>
      <c r="I688">
        <f t="shared" si="21"/>
        <v>1</v>
      </c>
    </row>
    <row r="689" spans="2:9" x14ac:dyDescent="0.25">
      <c r="B689">
        <v>41791</v>
      </c>
      <c r="C689" t="s">
        <v>1050</v>
      </c>
      <c r="D689" t="s">
        <v>1078</v>
      </c>
      <c r="E689" t="str">
        <f t="shared" si="20"/>
        <v>HUILA - TARQUI</v>
      </c>
      <c r="F689">
        <v>18271</v>
      </c>
      <c r="G689">
        <v>3.01</v>
      </c>
      <c r="H689">
        <v>1.8511499999999999</v>
      </c>
      <c r="I689">
        <f t="shared" si="21"/>
        <v>1</v>
      </c>
    </row>
    <row r="690" spans="2:9" x14ac:dyDescent="0.25">
      <c r="B690">
        <v>41797</v>
      </c>
      <c r="C690" t="s">
        <v>1050</v>
      </c>
      <c r="D690" t="s">
        <v>1079</v>
      </c>
      <c r="E690" t="str">
        <f t="shared" si="20"/>
        <v>HUILA - TESALIA</v>
      </c>
      <c r="F690">
        <v>9365</v>
      </c>
      <c r="G690">
        <v>3.87</v>
      </c>
      <c r="H690">
        <v>2.3800500000000002</v>
      </c>
      <c r="I690">
        <f t="shared" si="21"/>
        <v>1</v>
      </c>
    </row>
    <row r="691" spans="2:9" x14ac:dyDescent="0.25">
      <c r="B691">
        <v>41799</v>
      </c>
      <c r="C691" t="s">
        <v>1050</v>
      </c>
      <c r="D691" t="s">
        <v>1080</v>
      </c>
      <c r="E691" t="str">
        <f t="shared" si="20"/>
        <v>HUILA - TELLO</v>
      </c>
      <c r="F691">
        <v>14536</v>
      </c>
      <c r="G691">
        <v>4.53</v>
      </c>
      <c r="H691">
        <v>2.7859500000000001</v>
      </c>
      <c r="I691">
        <f t="shared" si="21"/>
        <v>1</v>
      </c>
    </row>
    <row r="692" spans="2:9" x14ac:dyDescent="0.25">
      <c r="B692">
        <v>41801</v>
      </c>
      <c r="C692" t="s">
        <v>1050</v>
      </c>
      <c r="D692" t="s">
        <v>1081</v>
      </c>
      <c r="E692" t="str">
        <f t="shared" si="20"/>
        <v>HUILA - TERUEL</v>
      </c>
      <c r="F692">
        <v>8916</v>
      </c>
      <c r="G692">
        <v>1.67</v>
      </c>
      <c r="H692">
        <v>1.02705</v>
      </c>
      <c r="I692">
        <f t="shared" si="21"/>
        <v>1</v>
      </c>
    </row>
    <row r="693" spans="2:9" x14ac:dyDescent="0.25">
      <c r="B693">
        <v>41807</v>
      </c>
      <c r="C693" t="s">
        <v>1050</v>
      </c>
      <c r="D693" t="s">
        <v>1082</v>
      </c>
      <c r="E693" t="str">
        <f t="shared" si="20"/>
        <v>HUILA - TIMANÁ</v>
      </c>
      <c r="F693">
        <v>20463</v>
      </c>
      <c r="G693">
        <v>5.45</v>
      </c>
      <c r="H693">
        <v>3.35175</v>
      </c>
      <c r="I693">
        <f t="shared" si="21"/>
        <v>1</v>
      </c>
    </row>
    <row r="694" spans="2:9" x14ac:dyDescent="0.25">
      <c r="B694">
        <v>41872</v>
      </c>
      <c r="C694" t="s">
        <v>1050</v>
      </c>
      <c r="D694" t="s">
        <v>1083</v>
      </c>
      <c r="E694" t="str">
        <f t="shared" si="20"/>
        <v>HUILA - VILLAVIEJA</v>
      </c>
      <c r="F694">
        <v>7309</v>
      </c>
      <c r="G694">
        <v>1.93</v>
      </c>
      <c r="H694">
        <v>1.1869499999999999</v>
      </c>
      <c r="I694">
        <f t="shared" si="21"/>
        <v>1</v>
      </c>
    </row>
    <row r="695" spans="2:9" x14ac:dyDescent="0.25">
      <c r="B695">
        <v>41885</v>
      </c>
      <c r="C695" t="s">
        <v>1050</v>
      </c>
      <c r="D695" t="s">
        <v>1084</v>
      </c>
      <c r="E695" t="str">
        <f t="shared" si="20"/>
        <v>HUILA - YAGUARÁ</v>
      </c>
      <c r="F695">
        <v>9410</v>
      </c>
      <c r="G695">
        <v>0.69</v>
      </c>
      <c r="H695">
        <v>0.42434999999999995</v>
      </c>
      <c r="I695">
        <f t="shared" si="21"/>
        <v>1</v>
      </c>
    </row>
    <row r="696" spans="2:9" x14ac:dyDescent="0.25">
      <c r="B696">
        <v>44001</v>
      </c>
      <c r="C696" t="s">
        <v>1085</v>
      </c>
      <c r="D696" t="s">
        <v>1086</v>
      </c>
      <c r="E696" t="str">
        <f t="shared" si="20"/>
        <v>LA GUAJIRA - RIOHACHA</v>
      </c>
      <c r="F696">
        <v>295984</v>
      </c>
      <c r="G696">
        <v>129.02000000000001</v>
      </c>
      <c r="H696">
        <v>79.347300000000004</v>
      </c>
      <c r="I696">
        <f t="shared" si="21"/>
        <v>3</v>
      </c>
    </row>
    <row r="697" spans="2:9" x14ac:dyDescent="0.25">
      <c r="B697">
        <v>44035</v>
      </c>
      <c r="C697" t="s">
        <v>1085</v>
      </c>
      <c r="D697" t="s">
        <v>773</v>
      </c>
      <c r="E697" t="str">
        <f t="shared" si="20"/>
        <v>LA GUAJIRA - ALBANIA</v>
      </c>
      <c r="F697">
        <v>28474</v>
      </c>
      <c r="G697">
        <v>4.04</v>
      </c>
      <c r="H697">
        <v>2.4845999999999999</v>
      </c>
      <c r="I697">
        <f t="shared" si="21"/>
        <v>1</v>
      </c>
    </row>
    <row r="698" spans="2:9" x14ac:dyDescent="0.25">
      <c r="B698">
        <v>44078</v>
      </c>
      <c r="C698" t="s">
        <v>1085</v>
      </c>
      <c r="D698" t="s">
        <v>1087</v>
      </c>
      <c r="E698" t="str">
        <f t="shared" si="20"/>
        <v>LA GUAJIRA - BARRANCAS</v>
      </c>
      <c r="F698">
        <v>37554</v>
      </c>
      <c r="G698">
        <v>3.05</v>
      </c>
      <c r="H698">
        <v>1.8757499999999998</v>
      </c>
      <c r="I698">
        <f t="shared" si="21"/>
        <v>1</v>
      </c>
    </row>
    <row r="699" spans="2:9" x14ac:dyDescent="0.25">
      <c r="B699">
        <v>44090</v>
      </c>
      <c r="C699" t="s">
        <v>1085</v>
      </c>
      <c r="D699" t="s">
        <v>1088</v>
      </c>
      <c r="E699" t="str">
        <f t="shared" si="20"/>
        <v>LA GUAJIRA - DIBULLA</v>
      </c>
      <c r="F699">
        <v>37854</v>
      </c>
      <c r="G699">
        <v>11.64</v>
      </c>
      <c r="H699">
        <v>7.1585999999999999</v>
      </c>
      <c r="I699">
        <f t="shared" si="21"/>
        <v>1</v>
      </c>
    </row>
    <row r="700" spans="2:9" x14ac:dyDescent="0.25">
      <c r="B700">
        <v>44098</v>
      </c>
      <c r="C700" t="s">
        <v>1085</v>
      </c>
      <c r="D700" t="s">
        <v>1089</v>
      </c>
      <c r="E700" t="str">
        <f t="shared" si="20"/>
        <v>LA GUAJIRA - DISTRACCIÓN</v>
      </c>
      <c r="F700">
        <v>17112</v>
      </c>
      <c r="G700">
        <v>7.58</v>
      </c>
      <c r="H700">
        <v>4.6616999999999997</v>
      </c>
      <c r="I700">
        <f t="shared" si="21"/>
        <v>1</v>
      </c>
    </row>
    <row r="701" spans="2:9" x14ac:dyDescent="0.25">
      <c r="B701">
        <v>44110</v>
      </c>
      <c r="C701" t="s">
        <v>1085</v>
      </c>
      <c r="D701" t="s">
        <v>1090</v>
      </c>
      <c r="E701" t="str">
        <f t="shared" si="20"/>
        <v>LA GUAJIRA - EL MOLINO</v>
      </c>
      <c r="F701">
        <v>9121</v>
      </c>
      <c r="G701">
        <v>4.4400000000000004</v>
      </c>
      <c r="H701">
        <v>2.7306000000000004</v>
      </c>
      <c r="I701">
        <f t="shared" si="21"/>
        <v>1</v>
      </c>
    </row>
    <row r="702" spans="2:9" x14ac:dyDescent="0.25">
      <c r="B702">
        <v>44279</v>
      </c>
      <c r="C702" t="s">
        <v>1085</v>
      </c>
      <c r="D702" t="s">
        <v>1091</v>
      </c>
      <c r="E702" t="str">
        <f t="shared" si="20"/>
        <v>LA GUAJIRA - FONSECA</v>
      </c>
      <c r="F702">
        <v>35205</v>
      </c>
      <c r="G702">
        <v>30.28</v>
      </c>
      <c r="H702">
        <v>18.622199999999999</v>
      </c>
      <c r="I702">
        <f t="shared" si="21"/>
        <v>2</v>
      </c>
    </row>
    <row r="703" spans="2:9" x14ac:dyDescent="0.25">
      <c r="B703">
        <v>44378</v>
      </c>
      <c r="C703" t="s">
        <v>1085</v>
      </c>
      <c r="D703" t="s">
        <v>1092</v>
      </c>
      <c r="E703" t="str">
        <f t="shared" si="20"/>
        <v>LA GUAJIRA - HATONUEVO</v>
      </c>
      <c r="F703">
        <v>28671</v>
      </c>
      <c r="G703">
        <v>8.0399999999999991</v>
      </c>
      <c r="H703">
        <v>4.9445999999999994</v>
      </c>
      <c r="I703">
        <f t="shared" si="21"/>
        <v>1</v>
      </c>
    </row>
    <row r="704" spans="2:9" x14ac:dyDescent="0.25">
      <c r="B704">
        <v>44420</v>
      </c>
      <c r="C704" t="s">
        <v>1085</v>
      </c>
      <c r="D704" t="s">
        <v>1093</v>
      </c>
      <c r="E704" t="str">
        <f t="shared" si="20"/>
        <v>LA GUAJIRA - LA JAGUA DEL PILAR</v>
      </c>
      <c r="F704">
        <v>3341</v>
      </c>
      <c r="G704">
        <v>0.94</v>
      </c>
      <c r="H704">
        <v>0.57809999999999995</v>
      </c>
      <c r="I704">
        <f t="shared" si="21"/>
        <v>1</v>
      </c>
    </row>
    <row r="705" spans="2:9" x14ac:dyDescent="0.25">
      <c r="B705">
        <v>44430</v>
      </c>
      <c r="C705" t="s">
        <v>1085</v>
      </c>
      <c r="D705" t="s">
        <v>1094</v>
      </c>
      <c r="E705" t="str">
        <f t="shared" si="20"/>
        <v>LA GUAJIRA - MAICAO</v>
      </c>
      <c r="F705">
        <v>166603</v>
      </c>
      <c r="G705">
        <v>95.32</v>
      </c>
      <c r="H705">
        <v>58.621799999999993</v>
      </c>
      <c r="I705">
        <f t="shared" si="21"/>
        <v>3</v>
      </c>
    </row>
    <row r="706" spans="2:9" x14ac:dyDescent="0.25">
      <c r="B706">
        <v>44560</v>
      </c>
      <c r="C706" t="s">
        <v>1085</v>
      </c>
      <c r="D706" t="s">
        <v>1095</v>
      </c>
      <c r="E706" t="str">
        <f t="shared" si="20"/>
        <v>LA GUAJIRA - MANAURE</v>
      </c>
      <c r="F706">
        <v>120417</v>
      </c>
      <c r="G706">
        <v>9.77</v>
      </c>
      <c r="H706">
        <v>6.0085499999999996</v>
      </c>
      <c r="I706">
        <f t="shared" si="21"/>
        <v>1</v>
      </c>
    </row>
    <row r="707" spans="2:9" x14ac:dyDescent="0.25">
      <c r="B707">
        <v>44650</v>
      </c>
      <c r="C707" t="s">
        <v>1085</v>
      </c>
      <c r="D707" t="s">
        <v>1096</v>
      </c>
      <c r="E707" t="str">
        <f t="shared" si="20"/>
        <v>LA GUAJIRA - SAN JUAN DEL CESAR</v>
      </c>
      <c r="F707">
        <v>39472</v>
      </c>
      <c r="G707">
        <v>23.39</v>
      </c>
      <c r="H707">
        <v>14.38485</v>
      </c>
      <c r="I707">
        <f t="shared" si="21"/>
        <v>2</v>
      </c>
    </row>
    <row r="708" spans="2:9" x14ac:dyDescent="0.25">
      <c r="B708">
        <v>44847</v>
      </c>
      <c r="C708" t="s">
        <v>1085</v>
      </c>
      <c r="D708" t="s">
        <v>1097</v>
      </c>
      <c r="E708" t="str">
        <f t="shared" ref="E708:E771" si="22">C708&amp;" - "&amp;D708</f>
        <v>LA GUAJIRA - URIBIA</v>
      </c>
      <c r="F708">
        <v>198890</v>
      </c>
      <c r="G708">
        <v>9.5500000000000007</v>
      </c>
      <c r="H708">
        <v>5.8732500000000005</v>
      </c>
      <c r="I708">
        <f t="shared" ref="I708:I771" si="23">IF(H708&lt;$P$3,$O$3,IF(H708&lt;$P$4,$O$4,IF(H708&lt;$P$5,$O$5,$O$6)))</f>
        <v>1</v>
      </c>
    </row>
    <row r="709" spans="2:9" x14ac:dyDescent="0.25">
      <c r="B709">
        <v>44855</v>
      </c>
      <c r="C709" t="s">
        <v>1085</v>
      </c>
      <c r="D709" t="s">
        <v>1098</v>
      </c>
      <c r="E709" t="str">
        <f t="shared" si="22"/>
        <v>LA GUAJIRA - URUMITA</v>
      </c>
      <c r="F709">
        <v>19629</v>
      </c>
      <c r="G709">
        <v>5.13</v>
      </c>
      <c r="H709">
        <v>3.1549499999999999</v>
      </c>
      <c r="I709">
        <f t="shared" si="23"/>
        <v>1</v>
      </c>
    </row>
    <row r="710" spans="2:9" x14ac:dyDescent="0.25">
      <c r="B710">
        <v>44874</v>
      </c>
      <c r="C710" t="s">
        <v>1085</v>
      </c>
      <c r="D710" t="s">
        <v>622</v>
      </c>
      <c r="E710" t="str">
        <f t="shared" si="22"/>
        <v>LA GUAJIRA - VILLANUEVA</v>
      </c>
      <c r="F710">
        <v>28736</v>
      </c>
      <c r="G710">
        <v>16.420000000000002</v>
      </c>
      <c r="H710">
        <v>10.0983</v>
      </c>
      <c r="I710">
        <f t="shared" si="23"/>
        <v>2</v>
      </c>
    </row>
    <row r="711" spans="2:9" x14ac:dyDescent="0.25">
      <c r="B711">
        <v>47001</v>
      </c>
      <c r="C711" t="s">
        <v>1099</v>
      </c>
      <c r="D711" t="s">
        <v>1100</v>
      </c>
      <c r="E711" t="str">
        <f t="shared" si="22"/>
        <v>MAGDALENA - SANTA MARTA</v>
      </c>
      <c r="F711">
        <v>515717</v>
      </c>
      <c r="G711">
        <v>507.86</v>
      </c>
      <c r="H711">
        <v>312.33390000000003</v>
      </c>
      <c r="I711">
        <f t="shared" si="23"/>
        <v>3</v>
      </c>
    </row>
    <row r="712" spans="2:9" x14ac:dyDescent="0.25">
      <c r="B712">
        <v>47030</v>
      </c>
      <c r="C712" t="s">
        <v>1099</v>
      </c>
      <c r="D712" t="s">
        <v>1101</v>
      </c>
      <c r="E712" t="str">
        <f t="shared" si="22"/>
        <v>MAGDALENA - ALGARROBO</v>
      </c>
      <c r="F712">
        <v>12940</v>
      </c>
      <c r="G712">
        <v>0.85</v>
      </c>
      <c r="H712">
        <v>0.52274999999999994</v>
      </c>
      <c r="I712">
        <f t="shared" si="23"/>
        <v>1</v>
      </c>
    </row>
    <row r="713" spans="2:9" x14ac:dyDescent="0.25">
      <c r="B713">
        <v>47053</v>
      </c>
      <c r="C713" t="s">
        <v>1099</v>
      </c>
      <c r="D713" t="s">
        <v>1102</v>
      </c>
      <c r="E713" t="str">
        <f t="shared" si="22"/>
        <v>MAGDALENA - ARACATACA</v>
      </c>
      <c r="F713">
        <v>41371</v>
      </c>
      <c r="G713">
        <v>16.78</v>
      </c>
      <c r="H713">
        <v>10.319700000000001</v>
      </c>
      <c r="I713">
        <f t="shared" si="23"/>
        <v>2</v>
      </c>
    </row>
    <row r="714" spans="2:9" x14ac:dyDescent="0.25">
      <c r="B714">
        <v>47058</v>
      </c>
      <c r="C714" t="s">
        <v>1099</v>
      </c>
      <c r="D714" t="s">
        <v>1103</v>
      </c>
      <c r="E714" t="str">
        <f t="shared" si="22"/>
        <v>MAGDALENA - ARIGUANÍ</v>
      </c>
      <c r="F714">
        <v>32637</v>
      </c>
      <c r="G714">
        <v>11.22</v>
      </c>
      <c r="H714">
        <v>6.9003000000000005</v>
      </c>
      <c r="I714">
        <f t="shared" si="23"/>
        <v>1</v>
      </c>
    </row>
    <row r="715" spans="2:9" x14ac:dyDescent="0.25">
      <c r="B715">
        <v>47161</v>
      </c>
      <c r="C715" t="s">
        <v>1099</v>
      </c>
      <c r="D715" t="s">
        <v>1104</v>
      </c>
      <c r="E715" t="str">
        <f t="shared" si="22"/>
        <v>MAGDALENA - CERRO DE SAN ANTONIO</v>
      </c>
      <c r="F715">
        <v>7692</v>
      </c>
      <c r="G715">
        <v>0.94</v>
      </c>
      <c r="H715">
        <v>0.57809999999999995</v>
      </c>
      <c r="I715">
        <f t="shared" si="23"/>
        <v>1</v>
      </c>
    </row>
    <row r="716" spans="2:9" x14ac:dyDescent="0.25">
      <c r="B716">
        <v>47170</v>
      </c>
      <c r="C716" t="s">
        <v>1099</v>
      </c>
      <c r="D716" t="s">
        <v>1105</v>
      </c>
      <c r="E716" t="str">
        <f t="shared" si="22"/>
        <v>MAGDALENA - CHIBOLO</v>
      </c>
      <c r="F716">
        <v>15757</v>
      </c>
      <c r="G716">
        <v>6.23</v>
      </c>
      <c r="H716">
        <v>3.8314500000000002</v>
      </c>
      <c r="I716">
        <f t="shared" si="23"/>
        <v>1</v>
      </c>
    </row>
    <row r="717" spans="2:9" x14ac:dyDescent="0.25">
      <c r="B717">
        <v>47189</v>
      </c>
      <c r="C717" t="s">
        <v>1099</v>
      </c>
      <c r="D717" t="s">
        <v>1106</v>
      </c>
      <c r="E717" t="str">
        <f t="shared" si="22"/>
        <v>MAGDALENA - CIÉNAGA</v>
      </c>
      <c r="F717">
        <v>105510</v>
      </c>
      <c r="G717">
        <v>79.75</v>
      </c>
      <c r="H717">
        <v>49.046250000000001</v>
      </c>
      <c r="I717">
        <f t="shared" si="23"/>
        <v>2</v>
      </c>
    </row>
    <row r="718" spans="2:9" x14ac:dyDescent="0.25">
      <c r="B718">
        <v>47205</v>
      </c>
      <c r="C718" t="s">
        <v>1099</v>
      </c>
      <c r="D718" t="s">
        <v>457</v>
      </c>
      <c r="E718" t="str">
        <f t="shared" si="22"/>
        <v>MAGDALENA - CONCORDIA</v>
      </c>
      <c r="F718">
        <v>9231</v>
      </c>
      <c r="G718">
        <v>2.5099999999999998</v>
      </c>
      <c r="H718">
        <v>1.5436499999999997</v>
      </c>
      <c r="I718">
        <f t="shared" si="23"/>
        <v>1</v>
      </c>
    </row>
    <row r="719" spans="2:9" x14ac:dyDescent="0.25">
      <c r="B719">
        <v>47245</v>
      </c>
      <c r="C719" t="s">
        <v>1099</v>
      </c>
      <c r="D719" t="s">
        <v>1107</v>
      </c>
      <c r="E719" t="str">
        <f t="shared" si="22"/>
        <v>MAGDALENA - EL BANCO</v>
      </c>
      <c r="F719">
        <v>56097</v>
      </c>
      <c r="G719">
        <v>28.67</v>
      </c>
      <c r="H719">
        <v>17.63205</v>
      </c>
      <c r="I719">
        <f t="shared" si="23"/>
        <v>2</v>
      </c>
    </row>
    <row r="720" spans="2:9" x14ac:dyDescent="0.25">
      <c r="B720">
        <v>47258</v>
      </c>
      <c r="C720" t="s">
        <v>1099</v>
      </c>
      <c r="D720" t="s">
        <v>1108</v>
      </c>
      <c r="E720" t="str">
        <f t="shared" si="22"/>
        <v>MAGDALENA - EL PIÑÓN</v>
      </c>
      <c r="F720">
        <v>16713</v>
      </c>
      <c r="G720">
        <v>3.13</v>
      </c>
      <c r="H720">
        <v>1.9249499999999999</v>
      </c>
      <c r="I720">
        <f t="shared" si="23"/>
        <v>1</v>
      </c>
    </row>
    <row r="721" spans="2:9" x14ac:dyDescent="0.25">
      <c r="B721">
        <v>47268</v>
      </c>
      <c r="C721" t="s">
        <v>1099</v>
      </c>
      <c r="D721" t="s">
        <v>1109</v>
      </c>
      <c r="E721" t="str">
        <f t="shared" si="22"/>
        <v>MAGDALENA - EL RETÉN</v>
      </c>
      <c r="F721">
        <v>22042</v>
      </c>
      <c r="G721">
        <v>8.44</v>
      </c>
      <c r="H721">
        <v>5.1905999999999999</v>
      </c>
      <c r="I721">
        <f t="shared" si="23"/>
        <v>1</v>
      </c>
    </row>
    <row r="722" spans="2:9" x14ac:dyDescent="0.25">
      <c r="B722">
        <v>47288</v>
      </c>
      <c r="C722" t="s">
        <v>1099</v>
      </c>
      <c r="D722" t="s">
        <v>1110</v>
      </c>
      <c r="E722" t="str">
        <f t="shared" si="22"/>
        <v>MAGDALENA - FUNDACIÓN</v>
      </c>
      <c r="F722">
        <v>57595</v>
      </c>
      <c r="G722">
        <v>34.68</v>
      </c>
      <c r="H722">
        <v>21.328199999999999</v>
      </c>
      <c r="I722">
        <f t="shared" si="23"/>
        <v>2</v>
      </c>
    </row>
    <row r="723" spans="2:9" x14ac:dyDescent="0.25">
      <c r="B723">
        <v>47318</v>
      </c>
      <c r="C723" t="s">
        <v>1099</v>
      </c>
      <c r="D723" t="s">
        <v>1111</v>
      </c>
      <c r="E723" t="str">
        <f t="shared" si="22"/>
        <v>MAGDALENA - GUAMAL</v>
      </c>
      <c r="F723">
        <v>28277</v>
      </c>
      <c r="G723">
        <v>0.44</v>
      </c>
      <c r="H723">
        <v>0.27060000000000001</v>
      </c>
      <c r="I723">
        <f t="shared" si="23"/>
        <v>1</v>
      </c>
    </row>
    <row r="724" spans="2:9" x14ac:dyDescent="0.25">
      <c r="B724">
        <v>47460</v>
      </c>
      <c r="C724" t="s">
        <v>1099</v>
      </c>
      <c r="D724" t="s">
        <v>1112</v>
      </c>
      <c r="E724" t="str">
        <f t="shared" si="22"/>
        <v>MAGDALENA - NUEVA GRANADA</v>
      </c>
      <c r="F724">
        <v>21612</v>
      </c>
      <c r="G724">
        <v>3.14</v>
      </c>
      <c r="H724">
        <v>1.9311</v>
      </c>
      <c r="I724">
        <f t="shared" si="23"/>
        <v>1</v>
      </c>
    </row>
    <row r="725" spans="2:9" x14ac:dyDescent="0.25">
      <c r="B725">
        <v>47541</v>
      </c>
      <c r="C725" t="s">
        <v>1099</v>
      </c>
      <c r="D725" t="s">
        <v>1113</v>
      </c>
      <c r="E725" t="str">
        <f t="shared" si="22"/>
        <v>MAGDALENA - PEDRAZA</v>
      </c>
      <c r="F725">
        <v>8122</v>
      </c>
      <c r="G725">
        <v>0.21</v>
      </c>
      <c r="H725">
        <v>0.12914999999999999</v>
      </c>
      <c r="I725">
        <f t="shared" si="23"/>
        <v>1</v>
      </c>
    </row>
    <row r="726" spans="2:9" x14ac:dyDescent="0.25">
      <c r="B726">
        <v>47545</v>
      </c>
      <c r="C726" t="s">
        <v>1099</v>
      </c>
      <c r="D726" t="s">
        <v>1114</v>
      </c>
      <c r="E726" t="str">
        <f t="shared" si="22"/>
        <v>MAGDALENA - PIJIÑO DEL CARMEN</v>
      </c>
      <c r="F726">
        <v>16636</v>
      </c>
      <c r="G726">
        <v>4.0599999999999996</v>
      </c>
      <c r="H726">
        <v>2.4968999999999997</v>
      </c>
      <c r="I726">
        <f t="shared" si="23"/>
        <v>1</v>
      </c>
    </row>
    <row r="727" spans="2:9" x14ac:dyDescent="0.25">
      <c r="B727">
        <v>47551</v>
      </c>
      <c r="C727" t="s">
        <v>1099</v>
      </c>
      <c r="D727" t="s">
        <v>1115</v>
      </c>
      <c r="E727" t="str">
        <f t="shared" si="22"/>
        <v>MAGDALENA - PIVIJAY</v>
      </c>
      <c r="F727">
        <v>33225</v>
      </c>
      <c r="G727">
        <v>7.75</v>
      </c>
      <c r="H727">
        <v>4.7662500000000003</v>
      </c>
      <c r="I727">
        <f t="shared" si="23"/>
        <v>1</v>
      </c>
    </row>
    <row r="728" spans="2:9" x14ac:dyDescent="0.25">
      <c r="B728">
        <v>47555</v>
      </c>
      <c r="C728" t="s">
        <v>1099</v>
      </c>
      <c r="D728" t="s">
        <v>1116</v>
      </c>
      <c r="E728" t="str">
        <f t="shared" si="22"/>
        <v>MAGDALENA - PLATO</v>
      </c>
      <c r="F728">
        <v>61856</v>
      </c>
      <c r="G728">
        <v>21.5</v>
      </c>
      <c r="H728">
        <v>13.2225</v>
      </c>
      <c r="I728">
        <f t="shared" si="23"/>
        <v>2</v>
      </c>
    </row>
    <row r="729" spans="2:9" x14ac:dyDescent="0.25">
      <c r="B729">
        <v>47570</v>
      </c>
      <c r="C729" t="s">
        <v>1099</v>
      </c>
      <c r="D729" t="s">
        <v>1117</v>
      </c>
      <c r="E729" t="str">
        <f t="shared" si="22"/>
        <v>MAGDALENA - PUEBLOVIEJO</v>
      </c>
      <c r="F729">
        <v>33030</v>
      </c>
      <c r="G729">
        <v>5.61</v>
      </c>
      <c r="H729">
        <v>3.4501500000000003</v>
      </c>
      <c r="I729">
        <f t="shared" si="23"/>
        <v>1</v>
      </c>
    </row>
    <row r="730" spans="2:9" x14ac:dyDescent="0.25">
      <c r="B730">
        <v>47605</v>
      </c>
      <c r="C730" t="s">
        <v>1099</v>
      </c>
      <c r="D730" t="s">
        <v>1118</v>
      </c>
      <c r="E730" t="str">
        <f t="shared" si="22"/>
        <v>MAGDALENA - REMOLINO</v>
      </c>
      <c r="F730">
        <v>7933</v>
      </c>
      <c r="G730">
        <v>3.79</v>
      </c>
      <c r="H730">
        <v>2.3308499999999999</v>
      </c>
      <c r="I730">
        <f t="shared" si="23"/>
        <v>1</v>
      </c>
    </row>
    <row r="731" spans="2:9" x14ac:dyDescent="0.25">
      <c r="B731">
        <v>47660</v>
      </c>
      <c r="C731" t="s">
        <v>1099</v>
      </c>
      <c r="D731" t="s">
        <v>1119</v>
      </c>
      <c r="E731" t="str">
        <f t="shared" si="22"/>
        <v>MAGDALENA - SABANAS DE SAN ÁNGEL</v>
      </c>
      <c r="F731">
        <v>17832</v>
      </c>
      <c r="G731">
        <v>11.37</v>
      </c>
      <c r="H731">
        <v>6.9925499999999996</v>
      </c>
      <c r="I731">
        <f t="shared" si="23"/>
        <v>1</v>
      </c>
    </row>
    <row r="732" spans="2:9" x14ac:dyDescent="0.25">
      <c r="B732">
        <v>47675</v>
      </c>
      <c r="C732" t="s">
        <v>1099</v>
      </c>
      <c r="D732" t="s">
        <v>764</v>
      </c>
      <c r="E732" t="str">
        <f t="shared" si="22"/>
        <v>MAGDALENA - SALAMINA</v>
      </c>
      <c r="F732">
        <v>6665</v>
      </c>
      <c r="G732">
        <v>5.69</v>
      </c>
      <c r="H732">
        <v>3.4993500000000002</v>
      </c>
      <c r="I732">
        <f t="shared" si="23"/>
        <v>1</v>
      </c>
    </row>
    <row r="733" spans="2:9" x14ac:dyDescent="0.25">
      <c r="B733">
        <v>47692</v>
      </c>
      <c r="C733" t="s">
        <v>1099</v>
      </c>
      <c r="D733" t="s">
        <v>1120</v>
      </c>
      <c r="E733" t="str">
        <f t="shared" si="22"/>
        <v>MAGDALENA - SAN SEBASTIÁN DE BUENAVISTA</v>
      </c>
      <c r="F733">
        <v>17599</v>
      </c>
      <c r="G733">
        <v>3.46</v>
      </c>
      <c r="H733">
        <v>2.1278999999999999</v>
      </c>
      <c r="I733">
        <f t="shared" si="23"/>
        <v>1</v>
      </c>
    </row>
    <row r="734" spans="2:9" x14ac:dyDescent="0.25">
      <c r="B734">
        <v>47703</v>
      </c>
      <c r="C734" t="s">
        <v>1099</v>
      </c>
      <c r="D734" t="s">
        <v>1121</v>
      </c>
      <c r="E734" t="str">
        <f t="shared" si="22"/>
        <v>MAGDALENA - SAN ZENÓN</v>
      </c>
      <c r="F734">
        <v>9203</v>
      </c>
      <c r="G734">
        <v>1.04</v>
      </c>
      <c r="H734">
        <v>0.63960000000000006</v>
      </c>
      <c r="I734">
        <f t="shared" si="23"/>
        <v>1</v>
      </c>
    </row>
    <row r="735" spans="2:9" x14ac:dyDescent="0.25">
      <c r="B735">
        <v>47707</v>
      </c>
      <c r="C735" t="s">
        <v>1099</v>
      </c>
      <c r="D735" t="s">
        <v>1122</v>
      </c>
      <c r="E735" t="str">
        <f t="shared" si="22"/>
        <v>MAGDALENA - SANTA ANA</v>
      </c>
      <c r="F735">
        <v>27258</v>
      </c>
      <c r="G735">
        <v>7.54</v>
      </c>
      <c r="H735">
        <v>4.6371000000000002</v>
      </c>
      <c r="I735">
        <f t="shared" si="23"/>
        <v>1</v>
      </c>
    </row>
    <row r="736" spans="2:9" x14ac:dyDescent="0.25">
      <c r="B736">
        <v>47720</v>
      </c>
      <c r="C736" t="s">
        <v>1099</v>
      </c>
      <c r="D736" t="s">
        <v>1123</v>
      </c>
      <c r="E736" t="str">
        <f t="shared" si="22"/>
        <v>MAGDALENA - SANTA BÁRBARA DE PINTO</v>
      </c>
      <c r="F736">
        <v>13286</v>
      </c>
      <c r="G736">
        <v>4.46</v>
      </c>
      <c r="H736">
        <v>2.7429000000000001</v>
      </c>
      <c r="I736">
        <f t="shared" si="23"/>
        <v>1</v>
      </c>
    </row>
    <row r="737" spans="2:9" x14ac:dyDescent="0.25">
      <c r="B737">
        <v>47745</v>
      </c>
      <c r="C737" t="s">
        <v>1099</v>
      </c>
      <c r="D737" t="s">
        <v>1124</v>
      </c>
      <c r="E737" t="str">
        <f t="shared" si="22"/>
        <v>MAGDALENA - SITIONUEVO</v>
      </c>
      <c r="F737">
        <v>33130</v>
      </c>
      <c r="G737">
        <v>9.9</v>
      </c>
      <c r="H737">
        <v>6.0884999999999998</v>
      </c>
      <c r="I737">
        <f t="shared" si="23"/>
        <v>1</v>
      </c>
    </row>
    <row r="738" spans="2:9" x14ac:dyDescent="0.25">
      <c r="B738">
        <v>47798</v>
      </c>
      <c r="C738" t="s">
        <v>1099</v>
      </c>
      <c r="D738" t="s">
        <v>1125</v>
      </c>
      <c r="E738" t="str">
        <f t="shared" si="22"/>
        <v>MAGDALENA - TENERIFE</v>
      </c>
      <c r="F738">
        <v>12215</v>
      </c>
      <c r="G738">
        <v>3.4</v>
      </c>
      <c r="H738">
        <v>2.0909999999999997</v>
      </c>
      <c r="I738">
        <f t="shared" si="23"/>
        <v>1</v>
      </c>
    </row>
    <row r="739" spans="2:9" x14ac:dyDescent="0.25">
      <c r="B739">
        <v>47960</v>
      </c>
      <c r="C739" t="s">
        <v>1099</v>
      </c>
      <c r="D739" t="s">
        <v>1126</v>
      </c>
      <c r="E739" t="str">
        <f t="shared" si="22"/>
        <v>MAGDALENA - ZAPAYÁN</v>
      </c>
      <c r="F739">
        <v>8935</v>
      </c>
      <c r="G739">
        <v>0.33</v>
      </c>
      <c r="H739">
        <v>0.20295000000000002</v>
      </c>
      <c r="I739">
        <f t="shared" si="23"/>
        <v>1</v>
      </c>
    </row>
    <row r="740" spans="2:9" x14ac:dyDescent="0.25">
      <c r="B740">
        <v>47980</v>
      </c>
      <c r="C740" t="s">
        <v>1099</v>
      </c>
      <c r="D740" t="s">
        <v>1127</v>
      </c>
      <c r="E740" t="str">
        <f t="shared" si="22"/>
        <v>MAGDALENA - ZONA BANANERA</v>
      </c>
      <c r="F740">
        <v>62312</v>
      </c>
      <c r="G740">
        <v>32.159999999999997</v>
      </c>
      <c r="H740">
        <v>19.778399999999998</v>
      </c>
      <c r="I740">
        <f t="shared" si="23"/>
        <v>2</v>
      </c>
    </row>
    <row r="741" spans="2:9" x14ac:dyDescent="0.25">
      <c r="B741">
        <v>50001</v>
      </c>
      <c r="C741" t="s">
        <v>1128</v>
      </c>
      <c r="D741" t="s">
        <v>1129</v>
      </c>
      <c r="E741" t="str">
        <f t="shared" si="22"/>
        <v>META - VILLAVICENCIO</v>
      </c>
      <c r="F741">
        <v>527673</v>
      </c>
      <c r="G741">
        <v>382.28</v>
      </c>
      <c r="H741">
        <v>235.10219999999998</v>
      </c>
      <c r="I741">
        <f t="shared" si="23"/>
        <v>3</v>
      </c>
    </row>
    <row r="742" spans="2:9" x14ac:dyDescent="0.25">
      <c r="B742">
        <v>50006</v>
      </c>
      <c r="C742" t="s">
        <v>1128</v>
      </c>
      <c r="D742" t="s">
        <v>1130</v>
      </c>
      <c r="E742" t="str">
        <f t="shared" si="22"/>
        <v>META - ACACÍAS</v>
      </c>
      <c r="F742">
        <v>75252</v>
      </c>
      <c r="G742">
        <v>48.83</v>
      </c>
      <c r="H742">
        <v>30.030449999999998</v>
      </c>
      <c r="I742">
        <f t="shared" si="23"/>
        <v>2</v>
      </c>
    </row>
    <row r="743" spans="2:9" x14ac:dyDescent="0.25">
      <c r="B743">
        <v>50110</v>
      </c>
      <c r="C743" t="s">
        <v>1128</v>
      </c>
      <c r="D743" t="s">
        <v>1131</v>
      </c>
      <c r="E743" t="str">
        <f t="shared" si="22"/>
        <v>META - BARRANCA DE UPÍA</v>
      </c>
      <c r="F743">
        <v>4267</v>
      </c>
      <c r="G743">
        <v>2.96</v>
      </c>
      <c r="H743">
        <v>1.8204</v>
      </c>
      <c r="I743">
        <f t="shared" si="23"/>
        <v>1</v>
      </c>
    </row>
    <row r="744" spans="2:9" x14ac:dyDescent="0.25">
      <c r="B744">
        <v>50124</v>
      </c>
      <c r="C744" t="s">
        <v>1128</v>
      </c>
      <c r="D744" t="s">
        <v>1132</v>
      </c>
      <c r="E744" t="str">
        <f t="shared" si="22"/>
        <v>META - CABUYARO</v>
      </c>
      <c r="F744">
        <v>4145</v>
      </c>
      <c r="G744">
        <v>2.5299999999999998</v>
      </c>
      <c r="H744">
        <v>1.5559499999999999</v>
      </c>
      <c r="I744">
        <f t="shared" si="23"/>
        <v>1</v>
      </c>
    </row>
    <row r="745" spans="2:9" x14ac:dyDescent="0.25">
      <c r="B745">
        <v>50150</v>
      </c>
      <c r="C745" t="s">
        <v>1128</v>
      </c>
      <c r="D745" t="s">
        <v>1133</v>
      </c>
      <c r="E745" t="str">
        <f t="shared" si="22"/>
        <v>META - CASTILLA LA NUEVA</v>
      </c>
      <c r="F745">
        <v>10803</v>
      </c>
      <c r="G745">
        <v>11.24</v>
      </c>
      <c r="H745">
        <v>6.9126000000000003</v>
      </c>
      <c r="I745">
        <f t="shared" si="23"/>
        <v>1</v>
      </c>
    </row>
    <row r="746" spans="2:9" x14ac:dyDescent="0.25">
      <c r="B746">
        <v>50223</v>
      </c>
      <c r="C746" t="s">
        <v>1128</v>
      </c>
      <c r="D746" t="s">
        <v>1134</v>
      </c>
      <c r="E746" t="str">
        <f t="shared" si="22"/>
        <v>META - CUBARRAL</v>
      </c>
      <c r="F746">
        <v>6261</v>
      </c>
      <c r="G746">
        <v>2.79</v>
      </c>
      <c r="H746">
        <v>1.7158500000000001</v>
      </c>
      <c r="I746">
        <f t="shared" si="23"/>
        <v>1</v>
      </c>
    </row>
    <row r="747" spans="2:9" x14ac:dyDescent="0.25">
      <c r="B747">
        <v>50226</v>
      </c>
      <c r="C747" t="s">
        <v>1128</v>
      </c>
      <c r="D747" t="s">
        <v>1135</v>
      </c>
      <c r="E747" t="str">
        <f t="shared" si="22"/>
        <v>META - CUMARAL</v>
      </c>
      <c r="F747">
        <v>18501</v>
      </c>
      <c r="G747">
        <v>11.19</v>
      </c>
      <c r="H747">
        <v>6.88185</v>
      </c>
      <c r="I747">
        <f t="shared" si="23"/>
        <v>1</v>
      </c>
    </row>
    <row r="748" spans="2:9" x14ac:dyDescent="0.25">
      <c r="B748">
        <v>50245</v>
      </c>
      <c r="C748" t="s">
        <v>1128</v>
      </c>
      <c r="D748" t="s">
        <v>1136</v>
      </c>
      <c r="E748" t="str">
        <f t="shared" si="22"/>
        <v>META - EL CALVARIO</v>
      </c>
      <c r="F748">
        <v>2220</v>
      </c>
      <c r="G748">
        <v>0.27</v>
      </c>
      <c r="H748">
        <v>0.16605</v>
      </c>
      <c r="I748">
        <f t="shared" si="23"/>
        <v>1</v>
      </c>
    </row>
    <row r="749" spans="2:9" x14ac:dyDescent="0.25">
      <c r="B749">
        <v>50251</v>
      </c>
      <c r="C749" t="s">
        <v>1128</v>
      </c>
      <c r="D749" t="s">
        <v>1137</v>
      </c>
      <c r="E749" t="str">
        <f t="shared" si="22"/>
        <v>META - EL CASTILLO</v>
      </c>
      <c r="F749">
        <v>6127</v>
      </c>
      <c r="G749">
        <v>2.92</v>
      </c>
      <c r="H749">
        <v>1.7957999999999998</v>
      </c>
      <c r="I749">
        <f t="shared" si="23"/>
        <v>1</v>
      </c>
    </row>
    <row r="750" spans="2:9" x14ac:dyDescent="0.25">
      <c r="B750">
        <v>50270</v>
      </c>
      <c r="C750" t="s">
        <v>1128</v>
      </c>
      <c r="D750" t="s">
        <v>1138</v>
      </c>
      <c r="E750" t="str">
        <f t="shared" si="22"/>
        <v>META - EL DORADO</v>
      </c>
      <c r="F750">
        <v>3457</v>
      </c>
      <c r="G750">
        <v>1.2</v>
      </c>
      <c r="H750">
        <v>0.73799999999999999</v>
      </c>
      <c r="I750">
        <f t="shared" si="23"/>
        <v>1</v>
      </c>
    </row>
    <row r="751" spans="2:9" x14ac:dyDescent="0.25">
      <c r="B751">
        <v>50287</v>
      </c>
      <c r="C751" t="s">
        <v>1128</v>
      </c>
      <c r="D751" t="s">
        <v>1139</v>
      </c>
      <c r="E751" t="str">
        <f t="shared" si="22"/>
        <v>META - FUENTE DE ORO</v>
      </c>
      <c r="F751">
        <v>14139</v>
      </c>
      <c r="G751">
        <v>5.98</v>
      </c>
      <c r="H751">
        <v>3.6777000000000002</v>
      </c>
      <c r="I751">
        <f t="shared" si="23"/>
        <v>1</v>
      </c>
    </row>
    <row r="752" spans="2:9" x14ac:dyDescent="0.25">
      <c r="B752">
        <v>50313</v>
      </c>
      <c r="C752" t="s">
        <v>1128</v>
      </c>
      <c r="D752" t="s">
        <v>470</v>
      </c>
      <c r="E752" t="str">
        <f t="shared" si="22"/>
        <v>META - GRANADA</v>
      </c>
      <c r="F752">
        <v>67192</v>
      </c>
      <c r="G752">
        <v>42.18</v>
      </c>
      <c r="H752">
        <v>25.9407</v>
      </c>
      <c r="I752">
        <f t="shared" si="23"/>
        <v>2</v>
      </c>
    </row>
    <row r="753" spans="2:9" x14ac:dyDescent="0.25">
      <c r="B753">
        <v>50318</v>
      </c>
      <c r="C753" t="s">
        <v>1128</v>
      </c>
      <c r="D753" t="s">
        <v>1111</v>
      </c>
      <c r="E753" t="str">
        <f t="shared" si="22"/>
        <v>META - GUAMAL</v>
      </c>
      <c r="F753">
        <v>9510</v>
      </c>
      <c r="G753">
        <v>6.99</v>
      </c>
      <c r="H753">
        <v>4.2988499999999998</v>
      </c>
      <c r="I753">
        <f t="shared" si="23"/>
        <v>1</v>
      </c>
    </row>
    <row r="754" spans="2:9" x14ac:dyDescent="0.25">
      <c r="B754">
        <v>50325</v>
      </c>
      <c r="C754" t="s">
        <v>1128</v>
      </c>
      <c r="D754" t="s">
        <v>1140</v>
      </c>
      <c r="E754" t="str">
        <f t="shared" si="22"/>
        <v>META - MAPIRIPÁN</v>
      </c>
      <c r="F754">
        <v>18985</v>
      </c>
      <c r="G754">
        <v>1.1499999999999999</v>
      </c>
      <c r="H754">
        <v>0.70724999999999993</v>
      </c>
      <c r="I754">
        <f t="shared" si="23"/>
        <v>1</v>
      </c>
    </row>
    <row r="755" spans="2:9" x14ac:dyDescent="0.25">
      <c r="B755">
        <v>50330</v>
      </c>
      <c r="C755" t="s">
        <v>1128</v>
      </c>
      <c r="D755" t="s">
        <v>1141</v>
      </c>
      <c r="E755" t="str">
        <f t="shared" si="22"/>
        <v>META - MESETAS</v>
      </c>
      <c r="F755">
        <v>11523</v>
      </c>
      <c r="G755">
        <v>3.23</v>
      </c>
      <c r="H755">
        <v>1.98645</v>
      </c>
      <c r="I755">
        <f t="shared" si="23"/>
        <v>1</v>
      </c>
    </row>
    <row r="756" spans="2:9" x14ac:dyDescent="0.25">
      <c r="B756">
        <v>50350</v>
      </c>
      <c r="C756" t="s">
        <v>1128</v>
      </c>
      <c r="D756" t="s">
        <v>1142</v>
      </c>
      <c r="E756" t="str">
        <f t="shared" si="22"/>
        <v>META - LA MACARENA</v>
      </c>
      <c r="F756">
        <v>36781</v>
      </c>
      <c r="G756">
        <v>2.95</v>
      </c>
      <c r="H756">
        <v>1.8142500000000001</v>
      </c>
      <c r="I756">
        <f t="shared" si="23"/>
        <v>1</v>
      </c>
    </row>
    <row r="757" spans="2:9" x14ac:dyDescent="0.25">
      <c r="B757">
        <v>50370</v>
      </c>
      <c r="C757" t="s">
        <v>1128</v>
      </c>
      <c r="D757" t="s">
        <v>1143</v>
      </c>
      <c r="E757" t="str">
        <f t="shared" si="22"/>
        <v>META - URIBE</v>
      </c>
      <c r="F757">
        <v>17730</v>
      </c>
      <c r="G757">
        <v>1.18</v>
      </c>
      <c r="H757">
        <v>0.7256999999999999</v>
      </c>
      <c r="I757">
        <f t="shared" si="23"/>
        <v>1</v>
      </c>
    </row>
    <row r="758" spans="2:9" x14ac:dyDescent="0.25">
      <c r="B758">
        <v>50400</v>
      </c>
      <c r="C758" t="s">
        <v>1128</v>
      </c>
      <c r="D758" t="s">
        <v>1144</v>
      </c>
      <c r="E758" t="str">
        <f t="shared" si="22"/>
        <v>META - LEJANÍAS</v>
      </c>
      <c r="F758">
        <v>9273</v>
      </c>
      <c r="G758">
        <v>2.97</v>
      </c>
      <c r="H758">
        <v>1.8265500000000001</v>
      </c>
      <c r="I758">
        <f t="shared" si="23"/>
        <v>1</v>
      </c>
    </row>
    <row r="759" spans="2:9" x14ac:dyDescent="0.25">
      <c r="B759">
        <v>50450</v>
      </c>
      <c r="C759" t="s">
        <v>1128</v>
      </c>
      <c r="D759" t="s">
        <v>1145</v>
      </c>
      <c r="E759" t="str">
        <f t="shared" si="22"/>
        <v>META - PUERTO CONCORDIA</v>
      </c>
      <c r="F759">
        <v>23131</v>
      </c>
      <c r="G759">
        <v>2.36</v>
      </c>
      <c r="H759">
        <v>1.4513999999999998</v>
      </c>
      <c r="I759">
        <f t="shared" si="23"/>
        <v>1</v>
      </c>
    </row>
    <row r="760" spans="2:9" x14ac:dyDescent="0.25">
      <c r="B760">
        <v>50568</v>
      </c>
      <c r="C760" t="s">
        <v>1128</v>
      </c>
      <c r="D760" t="s">
        <v>1146</v>
      </c>
      <c r="E760" t="str">
        <f t="shared" si="22"/>
        <v>META - PUERTO GAITÁN</v>
      </c>
      <c r="F760">
        <v>19007</v>
      </c>
      <c r="G760">
        <v>22.83</v>
      </c>
      <c r="H760">
        <v>14.040449999999998</v>
      </c>
      <c r="I760">
        <f t="shared" si="23"/>
        <v>2</v>
      </c>
    </row>
    <row r="761" spans="2:9" x14ac:dyDescent="0.25">
      <c r="B761">
        <v>50573</v>
      </c>
      <c r="C761" t="s">
        <v>1128</v>
      </c>
      <c r="D761" t="s">
        <v>1147</v>
      </c>
      <c r="E761" t="str">
        <f t="shared" si="22"/>
        <v>META - PUERTO LÓPEZ</v>
      </c>
      <c r="F761">
        <v>35097</v>
      </c>
      <c r="G761">
        <v>14.53</v>
      </c>
      <c r="H761">
        <v>8.9359500000000001</v>
      </c>
      <c r="I761">
        <f t="shared" si="23"/>
        <v>1</v>
      </c>
    </row>
    <row r="762" spans="2:9" x14ac:dyDescent="0.25">
      <c r="B762">
        <v>50577</v>
      </c>
      <c r="C762" t="s">
        <v>1128</v>
      </c>
      <c r="D762" t="s">
        <v>1148</v>
      </c>
      <c r="E762" t="str">
        <f t="shared" si="22"/>
        <v>META - PUERTO LLERAS</v>
      </c>
      <c r="F762">
        <v>9372</v>
      </c>
      <c r="G762">
        <v>2.68</v>
      </c>
      <c r="H762">
        <v>1.6482000000000001</v>
      </c>
      <c r="I762">
        <f t="shared" si="23"/>
        <v>1</v>
      </c>
    </row>
    <row r="763" spans="2:9" x14ac:dyDescent="0.25">
      <c r="B763">
        <v>50590</v>
      </c>
      <c r="C763" t="s">
        <v>1128</v>
      </c>
      <c r="D763" t="s">
        <v>782</v>
      </c>
      <c r="E763" t="str">
        <f t="shared" si="22"/>
        <v>META - PUERTO RICO</v>
      </c>
      <c r="F763">
        <v>18943</v>
      </c>
      <c r="G763">
        <v>4.5999999999999996</v>
      </c>
      <c r="H763">
        <v>2.8289999999999997</v>
      </c>
      <c r="I763">
        <f t="shared" si="23"/>
        <v>1</v>
      </c>
    </row>
    <row r="764" spans="2:9" x14ac:dyDescent="0.25">
      <c r="B764">
        <v>50606</v>
      </c>
      <c r="C764" t="s">
        <v>1128</v>
      </c>
      <c r="D764" t="s">
        <v>1149</v>
      </c>
      <c r="E764" t="str">
        <f t="shared" si="22"/>
        <v>META - RESTREPO</v>
      </c>
      <c r="F764">
        <v>10698</v>
      </c>
      <c r="G764">
        <v>9.77</v>
      </c>
      <c r="H764">
        <v>6.0085499999999996</v>
      </c>
      <c r="I764">
        <f t="shared" si="23"/>
        <v>1</v>
      </c>
    </row>
    <row r="765" spans="2:9" x14ac:dyDescent="0.25">
      <c r="B765">
        <v>50680</v>
      </c>
      <c r="C765" t="s">
        <v>1128</v>
      </c>
      <c r="D765" t="s">
        <v>1150</v>
      </c>
      <c r="E765" t="str">
        <f t="shared" si="22"/>
        <v>META - SAN CARLOS DE GUAROA</v>
      </c>
      <c r="F765">
        <v>11070</v>
      </c>
      <c r="G765">
        <v>3.61</v>
      </c>
      <c r="H765">
        <v>2.2201499999999998</v>
      </c>
      <c r="I765">
        <f t="shared" si="23"/>
        <v>1</v>
      </c>
    </row>
    <row r="766" spans="2:9" x14ac:dyDescent="0.25">
      <c r="B766">
        <v>50683</v>
      </c>
      <c r="C766" t="s">
        <v>1128</v>
      </c>
      <c r="D766" t="s">
        <v>1151</v>
      </c>
      <c r="E766" t="str">
        <f t="shared" si="22"/>
        <v>META - SAN JUAN DE ARAMA</v>
      </c>
      <c r="F766">
        <v>8692</v>
      </c>
      <c r="G766">
        <v>2.29</v>
      </c>
      <c r="H766">
        <v>1.40835</v>
      </c>
      <c r="I766">
        <f t="shared" si="23"/>
        <v>1</v>
      </c>
    </row>
    <row r="767" spans="2:9" x14ac:dyDescent="0.25">
      <c r="B767">
        <v>50686</v>
      </c>
      <c r="C767" t="s">
        <v>1128</v>
      </c>
      <c r="D767" t="s">
        <v>1152</v>
      </c>
      <c r="E767" t="str">
        <f t="shared" si="22"/>
        <v>META - SAN JUANITO</v>
      </c>
      <c r="F767">
        <v>2270</v>
      </c>
      <c r="G767">
        <v>0.69</v>
      </c>
      <c r="H767">
        <v>0.42434999999999995</v>
      </c>
      <c r="I767">
        <f t="shared" si="23"/>
        <v>1</v>
      </c>
    </row>
    <row r="768" spans="2:9" x14ac:dyDescent="0.25">
      <c r="B768">
        <v>50689</v>
      </c>
      <c r="C768" t="s">
        <v>1128</v>
      </c>
      <c r="D768" t="s">
        <v>866</v>
      </c>
      <c r="E768" t="str">
        <f t="shared" si="22"/>
        <v>META - SAN MARTÍN</v>
      </c>
      <c r="F768">
        <v>25902</v>
      </c>
      <c r="G768">
        <v>10.53</v>
      </c>
      <c r="H768">
        <v>6.4759499999999992</v>
      </c>
      <c r="I768">
        <f t="shared" si="23"/>
        <v>1</v>
      </c>
    </row>
    <row r="769" spans="2:9" x14ac:dyDescent="0.25">
      <c r="B769">
        <v>50711</v>
      </c>
      <c r="C769" t="s">
        <v>1128</v>
      </c>
      <c r="D769" t="s">
        <v>1153</v>
      </c>
      <c r="E769" t="str">
        <f t="shared" si="22"/>
        <v>META - VISTAHERMOSA</v>
      </c>
      <c r="F769">
        <v>27235</v>
      </c>
      <c r="G769">
        <v>4.95</v>
      </c>
      <c r="H769">
        <v>3.0442499999999999</v>
      </c>
      <c r="I769">
        <f t="shared" si="23"/>
        <v>1</v>
      </c>
    </row>
    <row r="770" spans="2:9" x14ac:dyDescent="0.25">
      <c r="B770">
        <v>52001</v>
      </c>
      <c r="C770" t="s">
        <v>490</v>
      </c>
      <c r="D770" t="s">
        <v>1154</v>
      </c>
      <c r="E770" t="str">
        <f t="shared" si="22"/>
        <v>NARIÑO - PASTO</v>
      </c>
      <c r="F770">
        <v>460454</v>
      </c>
      <c r="G770">
        <v>346.14</v>
      </c>
      <c r="H770">
        <v>212.87609999999998</v>
      </c>
      <c r="I770">
        <f t="shared" si="23"/>
        <v>3</v>
      </c>
    </row>
    <row r="771" spans="2:9" x14ac:dyDescent="0.25">
      <c r="B771">
        <v>52019</v>
      </c>
      <c r="C771" t="s">
        <v>490</v>
      </c>
      <c r="D771" t="s">
        <v>928</v>
      </c>
      <c r="E771" t="str">
        <f t="shared" si="22"/>
        <v>NARIÑO - ALBÁN</v>
      </c>
      <c r="F771">
        <v>23279</v>
      </c>
      <c r="G771">
        <v>2.27</v>
      </c>
      <c r="H771">
        <v>1.39605</v>
      </c>
      <c r="I771">
        <f t="shared" si="23"/>
        <v>1</v>
      </c>
    </row>
    <row r="772" spans="2:9" x14ac:dyDescent="0.25">
      <c r="B772">
        <v>52022</v>
      </c>
      <c r="C772" t="s">
        <v>490</v>
      </c>
      <c r="D772" t="s">
        <v>1155</v>
      </c>
      <c r="E772" t="str">
        <f t="shared" ref="E772:E835" si="24">C772&amp;" - "&amp;D772</f>
        <v>NARIÑO - ALDANA</v>
      </c>
      <c r="F772">
        <v>5765</v>
      </c>
      <c r="G772">
        <v>1.75</v>
      </c>
      <c r="H772">
        <v>1.0762499999999999</v>
      </c>
      <c r="I772">
        <f t="shared" ref="I772:I835" si="25">IF(H772&lt;$P$3,$O$3,IF(H772&lt;$P$4,$O$4,IF(H772&lt;$P$5,$O$5,$O$6)))</f>
        <v>1</v>
      </c>
    </row>
    <row r="773" spans="2:9" x14ac:dyDescent="0.25">
      <c r="B773">
        <v>52036</v>
      </c>
      <c r="C773" t="s">
        <v>490</v>
      </c>
      <c r="D773" t="s">
        <v>1156</v>
      </c>
      <c r="E773" t="str">
        <f t="shared" si="24"/>
        <v>NARIÑO - ANCUYA</v>
      </c>
      <c r="F773">
        <v>6411</v>
      </c>
      <c r="G773">
        <v>1.47</v>
      </c>
      <c r="H773">
        <v>0.90405000000000002</v>
      </c>
      <c r="I773">
        <f t="shared" si="25"/>
        <v>1</v>
      </c>
    </row>
    <row r="774" spans="2:9" x14ac:dyDescent="0.25">
      <c r="B774">
        <v>52051</v>
      </c>
      <c r="C774" t="s">
        <v>490</v>
      </c>
      <c r="D774" t="s">
        <v>1157</v>
      </c>
      <c r="E774" t="str">
        <f t="shared" si="24"/>
        <v>NARIÑO - ARBOLEDA</v>
      </c>
      <c r="F774">
        <v>7580</v>
      </c>
      <c r="G774">
        <v>1.03</v>
      </c>
      <c r="H774">
        <v>0.63344999999999996</v>
      </c>
      <c r="I774">
        <f t="shared" si="25"/>
        <v>1</v>
      </c>
    </row>
    <row r="775" spans="2:9" x14ac:dyDescent="0.25">
      <c r="B775">
        <v>52079</v>
      </c>
      <c r="C775" t="s">
        <v>490</v>
      </c>
      <c r="D775" t="s">
        <v>1158</v>
      </c>
      <c r="E775" t="str">
        <f t="shared" si="24"/>
        <v>NARIÑO - BARBACOAS</v>
      </c>
      <c r="F775">
        <v>41306</v>
      </c>
      <c r="G775">
        <v>1.22</v>
      </c>
      <c r="H775">
        <v>0.75029999999999997</v>
      </c>
      <c r="I775">
        <f t="shared" si="25"/>
        <v>1</v>
      </c>
    </row>
    <row r="776" spans="2:9" x14ac:dyDescent="0.25">
      <c r="B776">
        <v>52083</v>
      </c>
      <c r="C776" t="s">
        <v>490</v>
      </c>
      <c r="D776" t="s">
        <v>629</v>
      </c>
      <c r="E776" t="str">
        <f t="shared" si="24"/>
        <v>NARIÑO - BELÉN</v>
      </c>
      <c r="F776">
        <v>7894</v>
      </c>
      <c r="G776">
        <v>7.73</v>
      </c>
      <c r="H776">
        <v>4.7539500000000006</v>
      </c>
      <c r="I776">
        <f t="shared" si="25"/>
        <v>1</v>
      </c>
    </row>
    <row r="777" spans="2:9" x14ac:dyDescent="0.25">
      <c r="B777">
        <v>52110</v>
      </c>
      <c r="C777" t="s">
        <v>490</v>
      </c>
      <c r="D777" t="s">
        <v>1159</v>
      </c>
      <c r="E777" t="str">
        <f t="shared" si="24"/>
        <v>NARIÑO - BUESACO</v>
      </c>
      <c r="F777">
        <v>26229</v>
      </c>
      <c r="G777">
        <v>4.9800000000000004</v>
      </c>
      <c r="H777">
        <v>3.0627000000000004</v>
      </c>
      <c r="I777">
        <f t="shared" si="25"/>
        <v>1</v>
      </c>
    </row>
    <row r="778" spans="2:9" x14ac:dyDescent="0.25">
      <c r="B778">
        <v>52203</v>
      </c>
      <c r="C778" t="s">
        <v>490</v>
      </c>
      <c r="D778" t="s">
        <v>1160</v>
      </c>
      <c r="E778" t="str">
        <f t="shared" si="24"/>
        <v>NARIÑO - COLÓN</v>
      </c>
      <c r="F778">
        <v>10269</v>
      </c>
      <c r="G778">
        <v>1.35</v>
      </c>
      <c r="H778">
        <v>0.83025000000000004</v>
      </c>
      <c r="I778">
        <f t="shared" si="25"/>
        <v>1</v>
      </c>
    </row>
    <row r="779" spans="2:9" x14ac:dyDescent="0.25">
      <c r="B779">
        <v>52207</v>
      </c>
      <c r="C779" t="s">
        <v>490</v>
      </c>
      <c r="D779" t="s">
        <v>1161</v>
      </c>
      <c r="E779" t="str">
        <f t="shared" si="24"/>
        <v>NARIÑO - CONSACÁ</v>
      </c>
      <c r="F779">
        <v>8996</v>
      </c>
      <c r="G779">
        <v>1.37</v>
      </c>
      <c r="H779">
        <v>0.84255000000000002</v>
      </c>
      <c r="I779">
        <f t="shared" si="25"/>
        <v>1</v>
      </c>
    </row>
    <row r="780" spans="2:9" x14ac:dyDescent="0.25">
      <c r="B780">
        <v>52210</v>
      </c>
      <c r="C780" t="s">
        <v>490</v>
      </c>
      <c r="D780" t="s">
        <v>1162</v>
      </c>
      <c r="E780" t="str">
        <f t="shared" si="24"/>
        <v>NARIÑO - CONTADERO</v>
      </c>
      <c r="F780">
        <v>7051</v>
      </c>
      <c r="G780">
        <v>0.82</v>
      </c>
      <c r="H780">
        <v>0.50429999999999997</v>
      </c>
      <c r="I780">
        <f t="shared" si="25"/>
        <v>1</v>
      </c>
    </row>
    <row r="781" spans="2:9" x14ac:dyDescent="0.25">
      <c r="B781">
        <v>52215</v>
      </c>
      <c r="C781" t="s">
        <v>490</v>
      </c>
      <c r="D781" t="s">
        <v>588</v>
      </c>
      <c r="E781" t="str">
        <f t="shared" si="24"/>
        <v>NARIÑO - CÓRDOBA</v>
      </c>
      <c r="F781">
        <v>14113</v>
      </c>
      <c r="G781">
        <v>2.04</v>
      </c>
      <c r="H781">
        <v>1.2545999999999999</v>
      </c>
      <c r="I781">
        <f t="shared" si="25"/>
        <v>1</v>
      </c>
    </row>
    <row r="782" spans="2:9" x14ac:dyDescent="0.25">
      <c r="B782">
        <v>52224</v>
      </c>
      <c r="C782" t="s">
        <v>490</v>
      </c>
      <c r="D782" t="s">
        <v>1163</v>
      </c>
      <c r="E782" t="str">
        <f t="shared" si="24"/>
        <v>NARIÑO - CUASPUD CARLOSAMA</v>
      </c>
      <c r="F782">
        <v>8775</v>
      </c>
      <c r="G782">
        <v>2.7</v>
      </c>
      <c r="H782">
        <v>1.6605000000000001</v>
      </c>
      <c r="I782">
        <f t="shared" si="25"/>
        <v>1</v>
      </c>
    </row>
    <row r="783" spans="2:9" x14ac:dyDescent="0.25">
      <c r="B783">
        <v>52227</v>
      </c>
      <c r="C783" t="s">
        <v>490</v>
      </c>
      <c r="D783" t="s">
        <v>1164</v>
      </c>
      <c r="E783" t="str">
        <f t="shared" si="24"/>
        <v>NARIÑO - CUMBAL</v>
      </c>
      <c r="F783">
        <v>40492</v>
      </c>
      <c r="G783">
        <v>3.72</v>
      </c>
      <c r="H783">
        <v>2.2878000000000003</v>
      </c>
      <c r="I783">
        <f t="shared" si="25"/>
        <v>1</v>
      </c>
    </row>
    <row r="784" spans="2:9" x14ac:dyDescent="0.25">
      <c r="B784">
        <v>52233</v>
      </c>
      <c r="C784" t="s">
        <v>490</v>
      </c>
      <c r="D784" t="s">
        <v>1165</v>
      </c>
      <c r="E784" t="str">
        <f t="shared" si="24"/>
        <v>NARIÑO - CUMBITARA</v>
      </c>
      <c r="F784">
        <v>17071</v>
      </c>
      <c r="G784">
        <v>0.88</v>
      </c>
      <c r="H784">
        <v>0.54120000000000001</v>
      </c>
      <c r="I784">
        <f t="shared" si="25"/>
        <v>1</v>
      </c>
    </row>
    <row r="785" spans="2:9" x14ac:dyDescent="0.25">
      <c r="B785">
        <v>52240</v>
      </c>
      <c r="C785" t="s">
        <v>490</v>
      </c>
      <c r="D785" t="s">
        <v>1166</v>
      </c>
      <c r="E785" t="str">
        <f t="shared" si="24"/>
        <v>NARIÑO - CHACHAGÜÍ</v>
      </c>
      <c r="F785">
        <v>14139</v>
      </c>
      <c r="G785">
        <v>5.28</v>
      </c>
      <c r="H785">
        <v>3.2472000000000003</v>
      </c>
      <c r="I785">
        <f t="shared" si="25"/>
        <v>1</v>
      </c>
    </row>
    <row r="786" spans="2:9" x14ac:dyDescent="0.25">
      <c r="B786">
        <v>52250</v>
      </c>
      <c r="C786" t="s">
        <v>490</v>
      </c>
      <c r="D786" t="s">
        <v>1167</v>
      </c>
      <c r="E786" t="str">
        <f t="shared" si="24"/>
        <v>NARIÑO - EL CHARCO</v>
      </c>
      <c r="F786">
        <v>42525</v>
      </c>
      <c r="G786">
        <v>0.94</v>
      </c>
      <c r="H786">
        <v>0.57809999999999995</v>
      </c>
      <c r="I786">
        <f t="shared" si="25"/>
        <v>1</v>
      </c>
    </row>
    <row r="787" spans="2:9" x14ac:dyDescent="0.25">
      <c r="B787">
        <v>52254</v>
      </c>
      <c r="C787" t="s">
        <v>490</v>
      </c>
      <c r="D787" t="s">
        <v>1168</v>
      </c>
      <c r="E787" t="str">
        <f t="shared" si="24"/>
        <v>NARIÑO - EL PEÑOL</v>
      </c>
      <c r="F787">
        <v>6355</v>
      </c>
      <c r="G787">
        <v>0.88</v>
      </c>
      <c r="H787">
        <v>0.54120000000000001</v>
      </c>
      <c r="I787">
        <f t="shared" si="25"/>
        <v>1</v>
      </c>
    </row>
    <row r="788" spans="2:9" x14ac:dyDescent="0.25">
      <c r="B788">
        <v>52256</v>
      </c>
      <c r="C788" t="s">
        <v>490</v>
      </c>
      <c r="D788" t="s">
        <v>1169</v>
      </c>
      <c r="E788" t="str">
        <f t="shared" si="24"/>
        <v>NARIÑO - EL ROSARIO</v>
      </c>
      <c r="F788">
        <v>9670</v>
      </c>
      <c r="G788">
        <v>0.2</v>
      </c>
      <c r="H788">
        <v>0.123</v>
      </c>
      <c r="I788">
        <f t="shared" si="25"/>
        <v>1</v>
      </c>
    </row>
    <row r="789" spans="2:9" x14ac:dyDescent="0.25">
      <c r="B789">
        <v>52258</v>
      </c>
      <c r="C789" t="s">
        <v>490</v>
      </c>
      <c r="D789" t="s">
        <v>1170</v>
      </c>
      <c r="E789" t="str">
        <f t="shared" si="24"/>
        <v>NARIÑO - EL TABLÓN DE GÓMEZ</v>
      </c>
      <c r="F789">
        <v>12256</v>
      </c>
      <c r="G789">
        <v>1.59</v>
      </c>
      <c r="H789">
        <v>0.97785</v>
      </c>
      <c r="I789">
        <f t="shared" si="25"/>
        <v>1</v>
      </c>
    </row>
    <row r="790" spans="2:9" x14ac:dyDescent="0.25">
      <c r="B790">
        <v>52260</v>
      </c>
      <c r="C790" t="s">
        <v>490</v>
      </c>
      <c r="D790" t="s">
        <v>814</v>
      </c>
      <c r="E790" t="str">
        <f t="shared" si="24"/>
        <v>NARIÑO - EL TAMBO</v>
      </c>
      <c r="F790">
        <v>11531</v>
      </c>
      <c r="G790">
        <v>3.71</v>
      </c>
      <c r="H790">
        <v>2.28165</v>
      </c>
      <c r="I790">
        <f t="shared" si="25"/>
        <v>1</v>
      </c>
    </row>
    <row r="791" spans="2:9" x14ac:dyDescent="0.25">
      <c r="B791">
        <v>52287</v>
      </c>
      <c r="C791" t="s">
        <v>490</v>
      </c>
      <c r="D791" t="s">
        <v>1171</v>
      </c>
      <c r="E791" t="str">
        <f t="shared" si="24"/>
        <v>NARIÑO - FUNES</v>
      </c>
      <c r="F791">
        <v>6291</v>
      </c>
      <c r="G791">
        <v>1.05</v>
      </c>
      <c r="H791">
        <v>0.64575000000000005</v>
      </c>
      <c r="I791">
        <f t="shared" si="25"/>
        <v>1</v>
      </c>
    </row>
    <row r="792" spans="2:9" x14ac:dyDescent="0.25">
      <c r="B792">
        <v>52317</v>
      </c>
      <c r="C792" t="s">
        <v>490</v>
      </c>
      <c r="D792" t="s">
        <v>1172</v>
      </c>
      <c r="E792" t="str">
        <f t="shared" si="24"/>
        <v>NARIÑO - GUACHUCAL</v>
      </c>
      <c r="F792">
        <v>15123</v>
      </c>
      <c r="G792">
        <v>2.5299999999999998</v>
      </c>
      <c r="H792">
        <v>1.5559499999999999</v>
      </c>
      <c r="I792">
        <f t="shared" si="25"/>
        <v>1</v>
      </c>
    </row>
    <row r="793" spans="2:9" x14ac:dyDescent="0.25">
      <c r="B793">
        <v>52320</v>
      </c>
      <c r="C793" t="s">
        <v>490</v>
      </c>
      <c r="D793" t="s">
        <v>1173</v>
      </c>
      <c r="E793" t="str">
        <f t="shared" si="24"/>
        <v>NARIÑO - GUAITARILLA</v>
      </c>
      <c r="F793">
        <v>11330</v>
      </c>
      <c r="G793">
        <v>2.52</v>
      </c>
      <c r="H793">
        <v>1.5498000000000001</v>
      </c>
      <c r="I793">
        <f t="shared" si="25"/>
        <v>1</v>
      </c>
    </row>
    <row r="794" spans="2:9" x14ac:dyDescent="0.25">
      <c r="B794">
        <v>52323</v>
      </c>
      <c r="C794" t="s">
        <v>490</v>
      </c>
      <c r="D794" t="s">
        <v>1174</v>
      </c>
      <c r="E794" t="str">
        <f t="shared" si="24"/>
        <v>NARIÑO - GUALMATÁN</v>
      </c>
      <c r="F794">
        <v>5785</v>
      </c>
      <c r="G794">
        <v>0.5</v>
      </c>
      <c r="H794">
        <v>0.3075</v>
      </c>
      <c r="I794">
        <f t="shared" si="25"/>
        <v>1</v>
      </c>
    </row>
    <row r="795" spans="2:9" x14ac:dyDescent="0.25">
      <c r="B795">
        <v>52352</v>
      </c>
      <c r="C795" t="s">
        <v>490</v>
      </c>
      <c r="D795" t="s">
        <v>1175</v>
      </c>
      <c r="E795" t="str">
        <f t="shared" si="24"/>
        <v>NARIÑO - ILES</v>
      </c>
      <c r="F795">
        <v>9038</v>
      </c>
      <c r="G795">
        <v>1.05</v>
      </c>
      <c r="H795">
        <v>0.64575000000000005</v>
      </c>
      <c r="I795">
        <f t="shared" si="25"/>
        <v>1</v>
      </c>
    </row>
    <row r="796" spans="2:9" x14ac:dyDescent="0.25">
      <c r="B796">
        <v>52354</v>
      </c>
      <c r="C796" t="s">
        <v>490</v>
      </c>
      <c r="D796" t="s">
        <v>1176</v>
      </c>
      <c r="E796" t="str">
        <f t="shared" si="24"/>
        <v>NARIÑO - IMUÉS</v>
      </c>
      <c r="F796">
        <v>5776</v>
      </c>
      <c r="G796">
        <v>2.0099999999999998</v>
      </c>
      <c r="H796">
        <v>1.2361499999999999</v>
      </c>
      <c r="I796">
        <f t="shared" si="25"/>
        <v>1</v>
      </c>
    </row>
    <row r="797" spans="2:9" x14ac:dyDescent="0.25">
      <c r="B797">
        <v>52356</v>
      </c>
      <c r="C797" t="s">
        <v>490</v>
      </c>
      <c r="D797" t="s">
        <v>1177</v>
      </c>
      <c r="E797" t="str">
        <f t="shared" si="24"/>
        <v>NARIÑO - IPIALES</v>
      </c>
      <c r="F797">
        <v>151533</v>
      </c>
      <c r="G797">
        <v>76.150000000000006</v>
      </c>
      <c r="H797">
        <v>46.832250000000002</v>
      </c>
      <c r="I797">
        <f t="shared" si="25"/>
        <v>2</v>
      </c>
    </row>
    <row r="798" spans="2:9" x14ac:dyDescent="0.25">
      <c r="B798">
        <v>52378</v>
      </c>
      <c r="C798" t="s">
        <v>490</v>
      </c>
      <c r="D798" t="s">
        <v>1178</v>
      </c>
      <c r="E798" t="str">
        <f t="shared" si="24"/>
        <v>NARIÑO - LA CRUZ</v>
      </c>
      <c r="F798">
        <v>18305</v>
      </c>
      <c r="G798">
        <v>4.9000000000000004</v>
      </c>
      <c r="H798">
        <v>3.0135000000000001</v>
      </c>
      <c r="I798">
        <f t="shared" si="25"/>
        <v>1</v>
      </c>
    </row>
    <row r="799" spans="2:9" x14ac:dyDescent="0.25">
      <c r="B799">
        <v>52381</v>
      </c>
      <c r="C799" t="s">
        <v>490</v>
      </c>
      <c r="D799" t="s">
        <v>1179</v>
      </c>
      <c r="E799" t="str">
        <f t="shared" si="24"/>
        <v>NARIÑO - LA FLORIDA</v>
      </c>
      <c r="F799">
        <v>9242</v>
      </c>
      <c r="G799">
        <v>1.38</v>
      </c>
      <c r="H799">
        <v>0.8486999999999999</v>
      </c>
      <c r="I799">
        <f t="shared" si="25"/>
        <v>1</v>
      </c>
    </row>
    <row r="800" spans="2:9" x14ac:dyDescent="0.25">
      <c r="B800">
        <v>52385</v>
      </c>
      <c r="C800" t="s">
        <v>490</v>
      </c>
      <c r="D800" t="s">
        <v>1180</v>
      </c>
      <c r="E800" t="str">
        <f t="shared" si="24"/>
        <v>NARIÑO - LA LLANADA</v>
      </c>
      <c r="F800">
        <v>5476</v>
      </c>
      <c r="G800">
        <v>0.88</v>
      </c>
      <c r="H800">
        <v>0.54120000000000001</v>
      </c>
      <c r="I800">
        <f t="shared" si="25"/>
        <v>1</v>
      </c>
    </row>
    <row r="801" spans="2:9" x14ac:dyDescent="0.25">
      <c r="B801">
        <v>52390</v>
      </c>
      <c r="C801" t="s">
        <v>490</v>
      </c>
      <c r="D801" t="s">
        <v>1181</v>
      </c>
      <c r="E801" t="str">
        <f t="shared" si="24"/>
        <v>NARIÑO - LA TOLA</v>
      </c>
      <c r="F801">
        <v>14828</v>
      </c>
      <c r="G801">
        <v>3.63</v>
      </c>
      <c r="H801">
        <v>2.23245</v>
      </c>
      <c r="I801">
        <f t="shared" si="25"/>
        <v>1</v>
      </c>
    </row>
    <row r="802" spans="2:9" x14ac:dyDescent="0.25">
      <c r="B802">
        <v>52399</v>
      </c>
      <c r="C802" t="s">
        <v>490</v>
      </c>
      <c r="D802" t="s">
        <v>483</v>
      </c>
      <c r="E802" t="str">
        <f t="shared" si="24"/>
        <v>NARIÑO - LA UNIÓN</v>
      </c>
      <c r="F802">
        <v>25270</v>
      </c>
      <c r="G802">
        <v>3.23</v>
      </c>
      <c r="H802">
        <v>1.98645</v>
      </c>
      <c r="I802">
        <f t="shared" si="25"/>
        <v>1</v>
      </c>
    </row>
    <row r="803" spans="2:9" x14ac:dyDescent="0.25">
      <c r="B803">
        <v>52405</v>
      </c>
      <c r="C803" t="s">
        <v>490</v>
      </c>
      <c r="D803" t="s">
        <v>1182</v>
      </c>
      <c r="E803" t="str">
        <f t="shared" si="24"/>
        <v>NARIÑO - LEIVA</v>
      </c>
      <c r="F803">
        <v>14674</v>
      </c>
      <c r="G803">
        <v>1.03</v>
      </c>
      <c r="H803">
        <v>0.63344999999999996</v>
      </c>
      <c r="I803">
        <f t="shared" si="25"/>
        <v>1</v>
      </c>
    </row>
    <row r="804" spans="2:9" x14ac:dyDescent="0.25">
      <c r="B804">
        <v>52411</v>
      </c>
      <c r="C804" t="s">
        <v>490</v>
      </c>
      <c r="D804" t="s">
        <v>1183</v>
      </c>
      <c r="E804" t="str">
        <f t="shared" si="24"/>
        <v>NARIÑO - LINARES</v>
      </c>
      <c r="F804">
        <v>9358</v>
      </c>
      <c r="G804">
        <v>1.26</v>
      </c>
      <c r="H804">
        <v>0.77490000000000003</v>
      </c>
      <c r="I804">
        <f t="shared" si="25"/>
        <v>1</v>
      </c>
    </row>
    <row r="805" spans="2:9" x14ac:dyDescent="0.25">
      <c r="B805">
        <v>52418</v>
      </c>
      <c r="C805" t="s">
        <v>490</v>
      </c>
      <c r="D805" t="s">
        <v>1184</v>
      </c>
      <c r="E805" t="str">
        <f t="shared" si="24"/>
        <v>NARIÑO - LOS ANDES</v>
      </c>
      <c r="F805">
        <v>20865</v>
      </c>
      <c r="G805">
        <v>2.62</v>
      </c>
      <c r="H805">
        <v>1.6113</v>
      </c>
      <c r="I805">
        <f t="shared" si="25"/>
        <v>1</v>
      </c>
    </row>
    <row r="806" spans="2:9" x14ac:dyDescent="0.25">
      <c r="B806">
        <v>52427</v>
      </c>
      <c r="C806" t="s">
        <v>490</v>
      </c>
      <c r="D806" t="s">
        <v>1185</v>
      </c>
      <c r="E806" t="str">
        <f t="shared" si="24"/>
        <v>NARIÑO - MAGÜÍ</v>
      </c>
      <c r="F806">
        <v>25373</v>
      </c>
      <c r="G806">
        <v>9.07</v>
      </c>
      <c r="H806">
        <v>5.5780500000000002</v>
      </c>
      <c r="I806">
        <f t="shared" si="25"/>
        <v>1</v>
      </c>
    </row>
    <row r="807" spans="2:9" x14ac:dyDescent="0.25">
      <c r="B807">
        <v>52435</v>
      </c>
      <c r="C807" t="s">
        <v>490</v>
      </c>
      <c r="D807" t="s">
        <v>1186</v>
      </c>
      <c r="E807" t="str">
        <f t="shared" si="24"/>
        <v>NARIÑO - MALLAMA</v>
      </c>
      <c r="F807">
        <v>7189</v>
      </c>
      <c r="G807">
        <v>1.55</v>
      </c>
      <c r="H807">
        <v>0.95325000000000004</v>
      </c>
      <c r="I807">
        <f t="shared" si="25"/>
        <v>1</v>
      </c>
    </row>
    <row r="808" spans="2:9" x14ac:dyDescent="0.25">
      <c r="B808">
        <v>52473</v>
      </c>
      <c r="C808" t="s">
        <v>490</v>
      </c>
      <c r="D808" t="s">
        <v>981</v>
      </c>
      <c r="E808" t="str">
        <f t="shared" si="24"/>
        <v>NARIÑO - MOSQUERA</v>
      </c>
      <c r="F808">
        <v>18304</v>
      </c>
      <c r="G808">
        <v>10.56</v>
      </c>
      <c r="H808">
        <v>6.4944000000000006</v>
      </c>
      <c r="I808">
        <f t="shared" si="25"/>
        <v>1</v>
      </c>
    </row>
    <row r="809" spans="2:9" x14ac:dyDescent="0.25">
      <c r="B809">
        <v>52480</v>
      </c>
      <c r="C809" t="s">
        <v>490</v>
      </c>
      <c r="D809" t="s">
        <v>490</v>
      </c>
      <c r="E809" t="str">
        <f t="shared" si="24"/>
        <v>NARIÑO - NARIÑO</v>
      </c>
      <c r="F809">
        <v>5145</v>
      </c>
      <c r="G809">
        <v>1.25</v>
      </c>
      <c r="H809">
        <v>0.76875000000000004</v>
      </c>
      <c r="I809">
        <f t="shared" si="25"/>
        <v>1</v>
      </c>
    </row>
    <row r="810" spans="2:9" x14ac:dyDescent="0.25">
      <c r="B810">
        <v>52490</v>
      </c>
      <c r="C810" t="s">
        <v>490</v>
      </c>
      <c r="D810" t="s">
        <v>1187</v>
      </c>
      <c r="E810" t="str">
        <f t="shared" si="24"/>
        <v>NARIÑO - OLAYA HERRERA</v>
      </c>
      <c r="F810">
        <v>32759</v>
      </c>
      <c r="G810">
        <v>9.3800000000000008</v>
      </c>
      <c r="H810">
        <v>5.7687000000000008</v>
      </c>
      <c r="I810">
        <f t="shared" si="25"/>
        <v>1</v>
      </c>
    </row>
    <row r="811" spans="2:9" x14ac:dyDescent="0.25">
      <c r="B811">
        <v>52506</v>
      </c>
      <c r="C811" t="s">
        <v>490</v>
      </c>
      <c r="D811" t="s">
        <v>1188</v>
      </c>
      <c r="E811" t="str">
        <f t="shared" si="24"/>
        <v>NARIÑO - OSPINA</v>
      </c>
      <c r="F811">
        <v>8861</v>
      </c>
      <c r="G811">
        <v>0.89</v>
      </c>
      <c r="H811">
        <v>0.54735</v>
      </c>
      <c r="I811">
        <f t="shared" si="25"/>
        <v>1</v>
      </c>
    </row>
    <row r="812" spans="2:9" x14ac:dyDescent="0.25">
      <c r="B812">
        <v>52520</v>
      </c>
      <c r="C812" t="s">
        <v>490</v>
      </c>
      <c r="D812" t="s">
        <v>1189</v>
      </c>
      <c r="E812" t="str">
        <f t="shared" si="24"/>
        <v>NARIÑO - FRANCISCO PIZARRO</v>
      </c>
      <c r="F812">
        <v>16960</v>
      </c>
      <c r="G812">
        <v>2.0299999999999998</v>
      </c>
      <c r="H812">
        <v>1.2484499999999998</v>
      </c>
      <c r="I812">
        <f t="shared" si="25"/>
        <v>1</v>
      </c>
    </row>
    <row r="813" spans="2:9" x14ac:dyDescent="0.25">
      <c r="B813">
        <v>52540</v>
      </c>
      <c r="C813" t="s">
        <v>490</v>
      </c>
      <c r="D813" t="s">
        <v>1190</v>
      </c>
      <c r="E813" t="str">
        <f t="shared" si="24"/>
        <v>NARIÑO - POLICARPA</v>
      </c>
      <c r="F813">
        <v>18104</v>
      </c>
      <c r="G813">
        <v>0.86</v>
      </c>
      <c r="H813">
        <v>0.52890000000000004</v>
      </c>
      <c r="I813">
        <f t="shared" si="25"/>
        <v>1</v>
      </c>
    </row>
    <row r="814" spans="2:9" x14ac:dyDescent="0.25">
      <c r="B814">
        <v>52560</v>
      </c>
      <c r="C814" t="s">
        <v>490</v>
      </c>
      <c r="D814" t="s">
        <v>1191</v>
      </c>
      <c r="E814" t="str">
        <f t="shared" si="24"/>
        <v>NARIÑO - POTOSÍ</v>
      </c>
      <c r="F814">
        <v>11715</v>
      </c>
      <c r="G814">
        <v>1.85</v>
      </c>
      <c r="H814">
        <v>1.13775</v>
      </c>
      <c r="I814">
        <f t="shared" si="25"/>
        <v>1</v>
      </c>
    </row>
    <row r="815" spans="2:9" x14ac:dyDescent="0.25">
      <c r="B815">
        <v>52565</v>
      </c>
      <c r="C815" t="s">
        <v>490</v>
      </c>
      <c r="D815" t="s">
        <v>552</v>
      </c>
      <c r="E815" t="str">
        <f t="shared" si="24"/>
        <v>NARIÑO - PROVIDENCIA</v>
      </c>
      <c r="F815">
        <v>13854</v>
      </c>
      <c r="G815">
        <v>0.62</v>
      </c>
      <c r="H815">
        <v>0.38129999999999997</v>
      </c>
      <c r="I815">
        <f t="shared" si="25"/>
        <v>1</v>
      </c>
    </row>
    <row r="816" spans="2:9" x14ac:dyDescent="0.25">
      <c r="B816">
        <v>52573</v>
      </c>
      <c r="C816" t="s">
        <v>490</v>
      </c>
      <c r="D816" t="s">
        <v>1192</v>
      </c>
      <c r="E816" t="str">
        <f t="shared" si="24"/>
        <v>NARIÑO - PUERRES</v>
      </c>
      <c r="F816">
        <v>8113</v>
      </c>
      <c r="G816">
        <v>2.02</v>
      </c>
      <c r="H816">
        <v>1.2423</v>
      </c>
      <c r="I816">
        <f t="shared" si="25"/>
        <v>1</v>
      </c>
    </row>
    <row r="817" spans="2:9" x14ac:dyDescent="0.25">
      <c r="B817">
        <v>52585</v>
      </c>
      <c r="C817" t="s">
        <v>490</v>
      </c>
      <c r="D817" t="s">
        <v>1193</v>
      </c>
      <c r="E817" t="str">
        <f t="shared" si="24"/>
        <v>NARIÑO - PUPIALES</v>
      </c>
      <c r="F817">
        <v>19675</v>
      </c>
      <c r="G817">
        <v>5.91</v>
      </c>
      <c r="H817">
        <v>3.6346500000000002</v>
      </c>
      <c r="I817">
        <f t="shared" si="25"/>
        <v>1</v>
      </c>
    </row>
    <row r="818" spans="2:9" x14ac:dyDescent="0.25">
      <c r="B818">
        <v>52612</v>
      </c>
      <c r="C818" t="s">
        <v>490</v>
      </c>
      <c r="D818" t="s">
        <v>997</v>
      </c>
      <c r="E818" t="str">
        <f t="shared" si="24"/>
        <v>NARIÑO - RICAURTE</v>
      </c>
      <c r="F818">
        <v>20362</v>
      </c>
      <c r="G818">
        <v>2.83</v>
      </c>
      <c r="H818">
        <v>1.7404500000000001</v>
      </c>
      <c r="I818">
        <f t="shared" si="25"/>
        <v>1</v>
      </c>
    </row>
    <row r="819" spans="2:9" x14ac:dyDescent="0.25">
      <c r="B819">
        <v>52621</v>
      </c>
      <c r="C819" t="s">
        <v>490</v>
      </c>
      <c r="D819" t="s">
        <v>1194</v>
      </c>
      <c r="E819" t="str">
        <f t="shared" si="24"/>
        <v>NARIÑO - ROBERTO PAYÁN</v>
      </c>
      <c r="F819">
        <v>25433</v>
      </c>
      <c r="G819">
        <v>0.76</v>
      </c>
      <c r="H819">
        <v>0.46739999999999998</v>
      </c>
      <c r="I819">
        <f t="shared" si="25"/>
        <v>1</v>
      </c>
    </row>
    <row r="820" spans="2:9" x14ac:dyDescent="0.25">
      <c r="B820">
        <v>52678</v>
      </c>
      <c r="C820" t="s">
        <v>490</v>
      </c>
      <c r="D820" t="s">
        <v>1195</v>
      </c>
      <c r="E820" t="str">
        <f t="shared" si="24"/>
        <v>NARIÑO - SAMANIEGO</v>
      </c>
      <c r="F820">
        <v>49178</v>
      </c>
      <c r="G820">
        <v>6.79</v>
      </c>
      <c r="H820">
        <v>4.1758499999999996</v>
      </c>
      <c r="I820">
        <f t="shared" si="25"/>
        <v>1</v>
      </c>
    </row>
    <row r="821" spans="2:9" x14ac:dyDescent="0.25">
      <c r="B821">
        <v>52683</v>
      </c>
      <c r="C821" t="s">
        <v>490</v>
      </c>
      <c r="D821" t="s">
        <v>1196</v>
      </c>
      <c r="E821" t="str">
        <f t="shared" si="24"/>
        <v>NARIÑO - SANDONÁ</v>
      </c>
      <c r="F821">
        <v>25759</v>
      </c>
      <c r="G821">
        <v>6.21</v>
      </c>
      <c r="H821">
        <v>3.81915</v>
      </c>
      <c r="I821">
        <f t="shared" si="25"/>
        <v>1</v>
      </c>
    </row>
    <row r="822" spans="2:9" x14ac:dyDescent="0.25">
      <c r="B822">
        <v>52685</v>
      </c>
      <c r="C822" t="s">
        <v>490</v>
      </c>
      <c r="D822" t="s">
        <v>999</v>
      </c>
      <c r="E822" t="str">
        <f t="shared" si="24"/>
        <v>NARIÑO - SAN BERNARDO</v>
      </c>
      <c r="F822">
        <v>21492</v>
      </c>
      <c r="G822">
        <v>1.54</v>
      </c>
      <c r="H822">
        <v>0.94710000000000005</v>
      </c>
      <c r="I822">
        <f t="shared" si="25"/>
        <v>1</v>
      </c>
    </row>
    <row r="823" spans="2:9" x14ac:dyDescent="0.25">
      <c r="B823">
        <v>52687</v>
      </c>
      <c r="C823" t="s">
        <v>490</v>
      </c>
      <c r="D823" t="s">
        <v>1197</v>
      </c>
      <c r="E823" t="str">
        <f t="shared" si="24"/>
        <v>NARIÑO - SAN LORENZO</v>
      </c>
      <c r="F823">
        <v>20403</v>
      </c>
      <c r="G823">
        <v>1.82</v>
      </c>
      <c r="H823">
        <v>1.1193</v>
      </c>
      <c r="I823">
        <f t="shared" si="25"/>
        <v>1</v>
      </c>
    </row>
    <row r="824" spans="2:9" x14ac:dyDescent="0.25">
      <c r="B824">
        <v>52693</v>
      </c>
      <c r="C824" t="s">
        <v>490</v>
      </c>
      <c r="D824" t="s">
        <v>612</v>
      </c>
      <c r="E824" t="str">
        <f t="shared" si="24"/>
        <v>NARIÑO - SAN PABLO</v>
      </c>
      <c r="F824">
        <v>17109</v>
      </c>
      <c r="G824">
        <v>3.65</v>
      </c>
      <c r="H824">
        <v>2.2447499999999998</v>
      </c>
      <c r="I824">
        <f t="shared" si="25"/>
        <v>1</v>
      </c>
    </row>
    <row r="825" spans="2:9" x14ac:dyDescent="0.25">
      <c r="B825">
        <v>52694</v>
      </c>
      <c r="C825" t="s">
        <v>490</v>
      </c>
      <c r="D825" t="s">
        <v>1198</v>
      </c>
      <c r="E825" t="str">
        <f t="shared" si="24"/>
        <v>NARIÑO - SAN PEDRO DE CARTAGO</v>
      </c>
      <c r="F825">
        <v>7689</v>
      </c>
      <c r="G825">
        <v>0.31</v>
      </c>
      <c r="H825">
        <v>0.19064999999999999</v>
      </c>
      <c r="I825">
        <f t="shared" si="25"/>
        <v>1</v>
      </c>
    </row>
    <row r="826" spans="2:9" x14ac:dyDescent="0.25">
      <c r="B826">
        <v>52696</v>
      </c>
      <c r="C826" t="s">
        <v>490</v>
      </c>
      <c r="D826" t="s">
        <v>518</v>
      </c>
      <c r="E826" t="str">
        <f t="shared" si="24"/>
        <v>NARIÑO - SANTA BÁRBARA</v>
      </c>
      <c r="F826">
        <v>14486</v>
      </c>
      <c r="G826">
        <v>1.71</v>
      </c>
      <c r="H826">
        <v>1.05165</v>
      </c>
      <c r="I826">
        <f t="shared" si="25"/>
        <v>1</v>
      </c>
    </row>
    <row r="827" spans="2:9" x14ac:dyDescent="0.25">
      <c r="B827">
        <v>52699</v>
      </c>
      <c r="C827" t="s">
        <v>490</v>
      </c>
      <c r="D827" t="s">
        <v>1199</v>
      </c>
      <c r="E827" t="str">
        <f t="shared" si="24"/>
        <v>NARIÑO - SANTACRUZ</v>
      </c>
      <c r="F827">
        <v>31856</v>
      </c>
      <c r="G827">
        <v>0.87</v>
      </c>
      <c r="H827">
        <v>0.53505000000000003</v>
      </c>
      <c r="I827">
        <f t="shared" si="25"/>
        <v>1</v>
      </c>
    </row>
    <row r="828" spans="2:9" x14ac:dyDescent="0.25">
      <c r="B828">
        <v>52720</v>
      </c>
      <c r="C828" t="s">
        <v>490</v>
      </c>
      <c r="D828" t="s">
        <v>1200</v>
      </c>
      <c r="E828" t="str">
        <f t="shared" si="24"/>
        <v>NARIÑO - SAPUYES</v>
      </c>
      <c r="F828">
        <v>5899</v>
      </c>
      <c r="G828">
        <v>0.91</v>
      </c>
      <c r="H828">
        <v>0.55964999999999998</v>
      </c>
      <c r="I828">
        <f t="shared" si="25"/>
        <v>1</v>
      </c>
    </row>
    <row r="829" spans="2:9" x14ac:dyDescent="0.25">
      <c r="B829">
        <v>52786</v>
      </c>
      <c r="C829" t="s">
        <v>490</v>
      </c>
      <c r="D829" t="s">
        <v>1201</v>
      </c>
      <c r="E829" t="str">
        <f t="shared" si="24"/>
        <v>NARIÑO - TAMINANGO</v>
      </c>
      <c r="F829">
        <v>21985</v>
      </c>
      <c r="G829">
        <v>5.08</v>
      </c>
      <c r="H829">
        <v>3.1242000000000001</v>
      </c>
      <c r="I829">
        <f t="shared" si="25"/>
        <v>1</v>
      </c>
    </row>
    <row r="830" spans="2:9" x14ac:dyDescent="0.25">
      <c r="B830">
        <v>52788</v>
      </c>
      <c r="C830" t="s">
        <v>490</v>
      </c>
      <c r="D830" t="s">
        <v>1202</v>
      </c>
      <c r="E830" t="str">
        <f t="shared" si="24"/>
        <v>NARIÑO - TANGUA</v>
      </c>
      <c r="F830">
        <v>9134</v>
      </c>
      <c r="G830">
        <v>1.47</v>
      </c>
      <c r="H830">
        <v>0.90405000000000002</v>
      </c>
      <c r="I830">
        <f t="shared" si="25"/>
        <v>1</v>
      </c>
    </row>
    <row r="831" spans="2:9" x14ac:dyDescent="0.25">
      <c r="B831">
        <v>52835</v>
      </c>
      <c r="C831" t="s">
        <v>490</v>
      </c>
      <c r="D831" t="s">
        <v>1203</v>
      </c>
      <c r="E831" t="str">
        <f t="shared" si="24"/>
        <v>NARIÑO - SAN ANDRÉS DE TUMACO</v>
      </c>
      <c r="F831">
        <v>217079</v>
      </c>
      <c r="G831">
        <v>78.33</v>
      </c>
      <c r="H831">
        <v>48.17295</v>
      </c>
      <c r="I831">
        <f t="shared" si="25"/>
        <v>2</v>
      </c>
    </row>
    <row r="832" spans="2:9" x14ac:dyDescent="0.25">
      <c r="B832">
        <v>52838</v>
      </c>
      <c r="C832" t="s">
        <v>490</v>
      </c>
      <c r="D832" t="s">
        <v>1204</v>
      </c>
      <c r="E832" t="str">
        <f t="shared" si="24"/>
        <v>NARIÑO - TÚQUERRES</v>
      </c>
      <c r="F832">
        <v>40159</v>
      </c>
      <c r="G832">
        <v>16.21</v>
      </c>
      <c r="H832">
        <v>9.9691500000000008</v>
      </c>
      <c r="I832">
        <f t="shared" si="25"/>
        <v>1</v>
      </c>
    </row>
    <row r="833" spans="2:9" x14ac:dyDescent="0.25">
      <c r="B833">
        <v>52885</v>
      </c>
      <c r="C833" t="s">
        <v>490</v>
      </c>
      <c r="D833" t="s">
        <v>1205</v>
      </c>
      <c r="E833" t="str">
        <f t="shared" si="24"/>
        <v>NARIÑO - YACUANQUER</v>
      </c>
      <c r="F833">
        <v>11343</v>
      </c>
      <c r="G833">
        <v>2.2400000000000002</v>
      </c>
      <c r="H833">
        <v>1.3776000000000002</v>
      </c>
      <c r="I833">
        <f t="shared" si="25"/>
        <v>1</v>
      </c>
    </row>
    <row r="834" spans="2:9" x14ac:dyDescent="0.25">
      <c r="B834">
        <v>54001</v>
      </c>
      <c r="C834" t="s">
        <v>1206</v>
      </c>
      <c r="D834" t="s">
        <v>1207</v>
      </c>
      <c r="E834" t="str">
        <f t="shared" si="24"/>
        <v>NORTE DE SANTANDER - CÚCUTA</v>
      </c>
      <c r="F834">
        <v>674831</v>
      </c>
      <c r="G834">
        <v>645.78</v>
      </c>
      <c r="H834">
        <v>397.15469999999999</v>
      </c>
      <c r="I834">
        <f t="shared" si="25"/>
        <v>3</v>
      </c>
    </row>
    <row r="835" spans="2:9" x14ac:dyDescent="0.25">
      <c r="B835">
        <v>54003</v>
      </c>
      <c r="C835" t="s">
        <v>1206</v>
      </c>
      <c r="D835" t="s">
        <v>1208</v>
      </c>
      <c r="E835" t="str">
        <f t="shared" si="24"/>
        <v>NORTE DE SANTANDER - ÁBREGO</v>
      </c>
      <c r="F835">
        <v>39443</v>
      </c>
      <c r="G835">
        <v>7.83</v>
      </c>
      <c r="H835">
        <v>4.8154500000000002</v>
      </c>
      <c r="I835">
        <f t="shared" si="25"/>
        <v>1</v>
      </c>
    </row>
    <row r="836" spans="2:9" x14ac:dyDescent="0.25">
      <c r="B836">
        <v>54051</v>
      </c>
      <c r="C836" t="s">
        <v>1206</v>
      </c>
      <c r="D836" t="s">
        <v>1209</v>
      </c>
      <c r="E836" t="str">
        <f t="shared" ref="E836:E899" si="26">C836&amp;" - "&amp;D836</f>
        <v>NORTE DE SANTANDER - ARBOLEDAS</v>
      </c>
      <c r="F836">
        <v>8928</v>
      </c>
      <c r="G836">
        <v>1.44</v>
      </c>
      <c r="H836">
        <v>0.88559999999999994</v>
      </c>
      <c r="I836">
        <f t="shared" ref="I836:I899" si="27">IF(H836&lt;$P$3,$O$3,IF(H836&lt;$P$4,$O$4,IF(H836&lt;$P$5,$O$5,$O$6)))</f>
        <v>1</v>
      </c>
    </row>
    <row r="837" spans="2:9" x14ac:dyDescent="0.25">
      <c r="B837">
        <v>54099</v>
      </c>
      <c r="C837" t="s">
        <v>1206</v>
      </c>
      <c r="D837" t="s">
        <v>1210</v>
      </c>
      <c r="E837" t="str">
        <f t="shared" si="26"/>
        <v>NORTE DE SANTANDER - BOCHALEMA</v>
      </c>
      <c r="F837">
        <v>7152</v>
      </c>
      <c r="G837">
        <v>2.84</v>
      </c>
      <c r="H837">
        <v>1.7465999999999999</v>
      </c>
      <c r="I837">
        <f t="shared" si="27"/>
        <v>1</v>
      </c>
    </row>
    <row r="838" spans="2:9" x14ac:dyDescent="0.25">
      <c r="B838">
        <v>54109</v>
      </c>
      <c r="C838" t="s">
        <v>1206</v>
      </c>
      <c r="D838" t="s">
        <v>1211</v>
      </c>
      <c r="E838" t="str">
        <f t="shared" si="26"/>
        <v>NORTE DE SANTANDER - BUCARASICA</v>
      </c>
      <c r="F838">
        <v>4568</v>
      </c>
      <c r="G838">
        <v>0.38</v>
      </c>
      <c r="H838">
        <v>0.23369999999999999</v>
      </c>
      <c r="I838">
        <f t="shared" si="27"/>
        <v>1</v>
      </c>
    </row>
    <row r="839" spans="2:9" x14ac:dyDescent="0.25">
      <c r="B839">
        <v>54125</v>
      </c>
      <c r="C839" t="s">
        <v>1206</v>
      </c>
      <c r="D839" t="s">
        <v>1212</v>
      </c>
      <c r="E839" t="str">
        <f t="shared" si="26"/>
        <v>NORTE DE SANTANDER - CÁCOTA</v>
      </c>
      <c r="F839">
        <v>1709</v>
      </c>
      <c r="G839">
        <v>0.56999999999999995</v>
      </c>
      <c r="H839">
        <v>0.35054999999999997</v>
      </c>
      <c r="I839">
        <f t="shared" si="27"/>
        <v>1</v>
      </c>
    </row>
    <row r="840" spans="2:9" x14ac:dyDescent="0.25">
      <c r="B840">
        <v>54128</v>
      </c>
      <c r="C840" t="s">
        <v>1206</v>
      </c>
      <c r="D840" t="s">
        <v>1213</v>
      </c>
      <c r="E840" t="str">
        <f t="shared" si="26"/>
        <v>NORTE DE SANTANDER - CÁCHIRA</v>
      </c>
      <c r="F840">
        <v>11130</v>
      </c>
      <c r="G840">
        <v>1.17</v>
      </c>
      <c r="H840">
        <v>0.71954999999999991</v>
      </c>
      <c r="I840">
        <f t="shared" si="27"/>
        <v>1</v>
      </c>
    </row>
    <row r="841" spans="2:9" x14ac:dyDescent="0.25">
      <c r="B841">
        <v>54172</v>
      </c>
      <c r="C841" t="s">
        <v>1206</v>
      </c>
      <c r="D841" t="s">
        <v>1214</v>
      </c>
      <c r="E841" t="str">
        <f t="shared" si="26"/>
        <v>NORTE DE SANTANDER - CHINÁCOTA</v>
      </c>
      <c r="F841">
        <v>17009</v>
      </c>
      <c r="G841">
        <v>7.61</v>
      </c>
      <c r="H841">
        <v>4.6801500000000003</v>
      </c>
      <c r="I841">
        <f t="shared" si="27"/>
        <v>1</v>
      </c>
    </row>
    <row r="842" spans="2:9" x14ac:dyDescent="0.25">
      <c r="B842">
        <v>54174</v>
      </c>
      <c r="C842" t="s">
        <v>1206</v>
      </c>
      <c r="D842" t="s">
        <v>1215</v>
      </c>
      <c r="E842" t="str">
        <f t="shared" si="26"/>
        <v>NORTE DE SANTANDER - CHITAGÁ</v>
      </c>
      <c r="F842">
        <v>10445</v>
      </c>
      <c r="G842">
        <v>2.69</v>
      </c>
      <c r="H842">
        <v>1.65435</v>
      </c>
      <c r="I842">
        <f t="shared" si="27"/>
        <v>1</v>
      </c>
    </row>
    <row r="843" spans="2:9" x14ac:dyDescent="0.25">
      <c r="B843">
        <v>54206</v>
      </c>
      <c r="C843" t="s">
        <v>1206</v>
      </c>
      <c r="D843" t="s">
        <v>1216</v>
      </c>
      <c r="E843" t="str">
        <f t="shared" si="26"/>
        <v>NORTE DE SANTANDER - CONVENCIÓN</v>
      </c>
      <c r="F843">
        <v>12501</v>
      </c>
      <c r="G843">
        <v>1.57</v>
      </c>
      <c r="H843">
        <v>0.96555000000000002</v>
      </c>
      <c r="I843">
        <f t="shared" si="27"/>
        <v>1</v>
      </c>
    </row>
    <row r="844" spans="2:9" x14ac:dyDescent="0.25">
      <c r="B844">
        <v>54223</v>
      </c>
      <c r="C844" t="s">
        <v>1206</v>
      </c>
      <c r="D844" t="s">
        <v>1217</v>
      </c>
      <c r="E844" t="str">
        <f t="shared" si="26"/>
        <v>NORTE DE SANTANDER - CUCUTILLA</v>
      </c>
      <c r="F844">
        <v>7429</v>
      </c>
      <c r="G844">
        <v>1.01</v>
      </c>
      <c r="H844">
        <v>0.62114999999999998</v>
      </c>
      <c r="I844">
        <f t="shared" si="27"/>
        <v>1</v>
      </c>
    </row>
    <row r="845" spans="2:9" x14ac:dyDescent="0.25">
      <c r="B845">
        <v>54239</v>
      </c>
      <c r="C845" t="s">
        <v>1206</v>
      </c>
      <c r="D845" t="s">
        <v>1218</v>
      </c>
      <c r="E845" t="str">
        <f t="shared" si="26"/>
        <v>NORTE DE SANTANDER - DURANIA</v>
      </c>
      <c r="F845">
        <v>3656</v>
      </c>
      <c r="G845">
        <v>1.23</v>
      </c>
      <c r="H845">
        <v>0.75644999999999996</v>
      </c>
      <c r="I845">
        <f t="shared" si="27"/>
        <v>1</v>
      </c>
    </row>
    <row r="846" spans="2:9" x14ac:dyDescent="0.25">
      <c r="B846">
        <v>54245</v>
      </c>
      <c r="C846" t="s">
        <v>1206</v>
      </c>
      <c r="D846" t="s">
        <v>1219</v>
      </c>
      <c r="E846" t="str">
        <f t="shared" si="26"/>
        <v>NORTE DE SANTANDER - EL CARMEN</v>
      </c>
      <c r="F846">
        <v>13153</v>
      </c>
      <c r="G846">
        <v>2.11</v>
      </c>
      <c r="H846">
        <v>1.29765</v>
      </c>
      <c r="I846">
        <f t="shared" si="27"/>
        <v>1</v>
      </c>
    </row>
    <row r="847" spans="2:9" x14ac:dyDescent="0.25">
      <c r="B847">
        <v>54250</v>
      </c>
      <c r="C847" t="s">
        <v>1206</v>
      </c>
      <c r="D847" t="s">
        <v>1220</v>
      </c>
      <c r="E847" t="str">
        <f t="shared" si="26"/>
        <v>NORTE DE SANTANDER - EL TARRA</v>
      </c>
      <c r="F847">
        <v>11058</v>
      </c>
      <c r="G847">
        <v>3.34</v>
      </c>
      <c r="H847">
        <v>2.0541</v>
      </c>
      <c r="I847">
        <f t="shared" si="27"/>
        <v>1</v>
      </c>
    </row>
    <row r="848" spans="2:9" x14ac:dyDescent="0.25">
      <c r="B848">
        <v>54261</v>
      </c>
      <c r="C848" t="s">
        <v>1206</v>
      </c>
      <c r="D848" t="s">
        <v>1221</v>
      </c>
      <c r="E848" t="str">
        <f t="shared" si="26"/>
        <v>NORTE DE SANTANDER - EL ZULIA</v>
      </c>
      <c r="F848">
        <v>23921</v>
      </c>
      <c r="G848">
        <v>13.42</v>
      </c>
      <c r="H848">
        <v>8.2532999999999994</v>
      </c>
      <c r="I848">
        <f t="shared" si="27"/>
        <v>1</v>
      </c>
    </row>
    <row r="849" spans="2:9" x14ac:dyDescent="0.25">
      <c r="B849">
        <v>54313</v>
      </c>
      <c r="C849" t="s">
        <v>1206</v>
      </c>
      <c r="D849" t="s">
        <v>1222</v>
      </c>
      <c r="E849" t="str">
        <f t="shared" si="26"/>
        <v>NORTE DE SANTANDER - GRAMALOTE</v>
      </c>
      <c r="F849">
        <v>5301</v>
      </c>
      <c r="G849">
        <v>0.94</v>
      </c>
      <c r="H849">
        <v>0.57809999999999995</v>
      </c>
      <c r="I849">
        <f t="shared" si="27"/>
        <v>1</v>
      </c>
    </row>
    <row r="850" spans="2:9" x14ac:dyDescent="0.25">
      <c r="B850">
        <v>54344</v>
      </c>
      <c r="C850" t="s">
        <v>1206</v>
      </c>
      <c r="D850" t="s">
        <v>1223</v>
      </c>
      <c r="E850" t="str">
        <f t="shared" si="26"/>
        <v>NORTE DE SANTANDER - HACARÍ</v>
      </c>
      <c r="F850">
        <v>10932</v>
      </c>
      <c r="G850">
        <v>1.1599999999999999</v>
      </c>
      <c r="H850">
        <v>0.71339999999999992</v>
      </c>
      <c r="I850">
        <f t="shared" si="27"/>
        <v>1</v>
      </c>
    </row>
    <row r="851" spans="2:9" x14ac:dyDescent="0.25">
      <c r="B851">
        <v>54347</v>
      </c>
      <c r="C851" t="s">
        <v>1206</v>
      </c>
      <c r="D851" t="s">
        <v>1224</v>
      </c>
      <c r="E851" t="str">
        <f t="shared" si="26"/>
        <v>NORTE DE SANTANDER - HERRÁN</v>
      </c>
      <c r="F851">
        <v>3874</v>
      </c>
      <c r="G851">
        <v>0.35</v>
      </c>
      <c r="H851">
        <v>0.21525</v>
      </c>
      <c r="I851">
        <f t="shared" si="27"/>
        <v>1</v>
      </c>
    </row>
    <row r="852" spans="2:9" x14ac:dyDescent="0.25">
      <c r="B852">
        <v>54377</v>
      </c>
      <c r="C852" t="s">
        <v>1206</v>
      </c>
      <c r="D852" t="s">
        <v>1225</v>
      </c>
      <c r="E852" t="str">
        <f t="shared" si="26"/>
        <v>NORTE DE SANTANDER - LABATECA</v>
      </c>
      <c r="F852">
        <v>5911</v>
      </c>
      <c r="G852">
        <v>0.88</v>
      </c>
      <c r="H852">
        <v>0.54120000000000001</v>
      </c>
      <c r="I852">
        <f t="shared" si="27"/>
        <v>1</v>
      </c>
    </row>
    <row r="853" spans="2:9" x14ac:dyDescent="0.25">
      <c r="B853">
        <v>54385</v>
      </c>
      <c r="C853" t="s">
        <v>1206</v>
      </c>
      <c r="D853" t="s">
        <v>1226</v>
      </c>
      <c r="E853" t="str">
        <f t="shared" si="26"/>
        <v>NORTE DE SANTANDER - LA ESPERANZA</v>
      </c>
      <c r="F853">
        <v>12486</v>
      </c>
      <c r="G853">
        <v>2.23</v>
      </c>
      <c r="H853">
        <v>1.3714500000000001</v>
      </c>
      <c r="I853">
        <f t="shared" si="27"/>
        <v>1</v>
      </c>
    </row>
    <row r="854" spans="2:9" x14ac:dyDescent="0.25">
      <c r="B854">
        <v>54398</v>
      </c>
      <c r="C854" t="s">
        <v>1206</v>
      </c>
      <c r="D854" t="s">
        <v>1227</v>
      </c>
      <c r="E854" t="str">
        <f t="shared" si="26"/>
        <v>NORTE DE SANTANDER - LA PLAYA</v>
      </c>
      <c r="F854">
        <v>8566</v>
      </c>
      <c r="G854">
        <v>0.85</v>
      </c>
      <c r="H854">
        <v>0.52274999999999994</v>
      </c>
      <c r="I854">
        <f t="shared" si="27"/>
        <v>1</v>
      </c>
    </row>
    <row r="855" spans="2:9" x14ac:dyDescent="0.25">
      <c r="B855">
        <v>54405</v>
      </c>
      <c r="C855" t="s">
        <v>1206</v>
      </c>
      <c r="D855" t="s">
        <v>1228</v>
      </c>
      <c r="E855" t="str">
        <f t="shared" si="26"/>
        <v>NORTE DE SANTANDER - LOS PATIOS</v>
      </c>
      <c r="F855">
        <v>80235</v>
      </c>
      <c r="G855">
        <v>76.44</v>
      </c>
      <c r="H855">
        <v>47.010599999999997</v>
      </c>
      <c r="I855">
        <f t="shared" si="27"/>
        <v>2</v>
      </c>
    </row>
    <row r="856" spans="2:9" x14ac:dyDescent="0.25">
      <c r="B856">
        <v>54418</v>
      </c>
      <c r="C856" t="s">
        <v>1206</v>
      </c>
      <c r="D856" t="s">
        <v>1229</v>
      </c>
      <c r="E856" t="str">
        <f t="shared" si="26"/>
        <v>NORTE DE SANTANDER - LOURDES</v>
      </c>
      <c r="F856">
        <v>3347</v>
      </c>
      <c r="G856">
        <v>1.02</v>
      </c>
      <c r="H856">
        <v>0.62729999999999997</v>
      </c>
      <c r="I856">
        <f t="shared" si="27"/>
        <v>1</v>
      </c>
    </row>
    <row r="857" spans="2:9" x14ac:dyDescent="0.25">
      <c r="B857">
        <v>54480</v>
      </c>
      <c r="C857" t="s">
        <v>1206</v>
      </c>
      <c r="D857" t="s">
        <v>1230</v>
      </c>
      <c r="E857" t="str">
        <f t="shared" si="26"/>
        <v>NORTE DE SANTANDER - MUTISCUA</v>
      </c>
      <c r="F857">
        <v>3704</v>
      </c>
      <c r="G857">
        <v>1.1599999999999999</v>
      </c>
      <c r="H857">
        <v>0.71339999999999992</v>
      </c>
      <c r="I857">
        <f t="shared" si="27"/>
        <v>1</v>
      </c>
    </row>
    <row r="858" spans="2:9" x14ac:dyDescent="0.25">
      <c r="B858">
        <v>54498</v>
      </c>
      <c r="C858" t="s">
        <v>1206</v>
      </c>
      <c r="D858" t="s">
        <v>1231</v>
      </c>
      <c r="E858" t="str">
        <f t="shared" si="26"/>
        <v>NORTE DE SANTANDER - OCAÑA</v>
      </c>
      <c r="F858">
        <v>101158</v>
      </c>
      <c r="G858">
        <v>66.709999999999994</v>
      </c>
      <c r="H858">
        <v>41.026649999999997</v>
      </c>
      <c r="I858">
        <f t="shared" si="27"/>
        <v>2</v>
      </c>
    </row>
    <row r="859" spans="2:9" x14ac:dyDescent="0.25">
      <c r="B859">
        <v>54518</v>
      </c>
      <c r="C859" t="s">
        <v>1206</v>
      </c>
      <c r="D859" t="s">
        <v>1232</v>
      </c>
      <c r="E859" t="str">
        <f t="shared" si="26"/>
        <v>NORTE DE SANTANDER - PAMPLONA</v>
      </c>
      <c r="F859">
        <v>58975</v>
      </c>
      <c r="G859">
        <v>12.3</v>
      </c>
      <c r="H859">
        <v>7.5645000000000007</v>
      </c>
      <c r="I859">
        <f t="shared" si="27"/>
        <v>1</v>
      </c>
    </row>
    <row r="860" spans="2:9" x14ac:dyDescent="0.25">
      <c r="B860">
        <v>54520</v>
      </c>
      <c r="C860" t="s">
        <v>1206</v>
      </c>
      <c r="D860" t="s">
        <v>1233</v>
      </c>
      <c r="E860" t="str">
        <f t="shared" si="26"/>
        <v>NORTE DE SANTANDER - PAMPLONITA</v>
      </c>
      <c r="F860">
        <v>4984</v>
      </c>
      <c r="G860">
        <v>1.01</v>
      </c>
      <c r="H860">
        <v>0.62114999999999998</v>
      </c>
      <c r="I860">
        <f t="shared" si="27"/>
        <v>1</v>
      </c>
    </row>
    <row r="861" spans="2:9" x14ac:dyDescent="0.25">
      <c r="B861">
        <v>54553</v>
      </c>
      <c r="C861" t="s">
        <v>1206</v>
      </c>
      <c r="D861" t="s">
        <v>1234</v>
      </c>
      <c r="E861" t="str">
        <f t="shared" si="26"/>
        <v>NORTE DE SANTANDER - PUERTO SANTANDER</v>
      </c>
      <c r="F861">
        <v>10926</v>
      </c>
      <c r="G861">
        <v>5.13</v>
      </c>
      <c r="H861">
        <v>3.1549499999999999</v>
      </c>
      <c r="I861">
        <f t="shared" si="27"/>
        <v>1</v>
      </c>
    </row>
    <row r="862" spans="2:9" x14ac:dyDescent="0.25">
      <c r="B862">
        <v>54599</v>
      </c>
      <c r="C862" t="s">
        <v>1206</v>
      </c>
      <c r="D862" t="s">
        <v>1235</v>
      </c>
      <c r="E862" t="str">
        <f t="shared" si="26"/>
        <v>NORTE DE SANTANDER - RAGONVALIA</v>
      </c>
      <c r="F862">
        <v>6912</v>
      </c>
      <c r="G862">
        <v>1.1100000000000001</v>
      </c>
      <c r="H862">
        <v>0.68265000000000009</v>
      </c>
      <c r="I862">
        <f t="shared" si="27"/>
        <v>1</v>
      </c>
    </row>
    <row r="863" spans="2:9" x14ac:dyDescent="0.25">
      <c r="B863">
        <v>54660</v>
      </c>
      <c r="C863" t="s">
        <v>1206</v>
      </c>
      <c r="D863" t="s">
        <v>1236</v>
      </c>
      <c r="E863" t="str">
        <f t="shared" si="26"/>
        <v>NORTE DE SANTANDER - SALAZAR</v>
      </c>
      <c r="F863">
        <v>8834</v>
      </c>
      <c r="G863">
        <v>2.29</v>
      </c>
      <c r="H863">
        <v>1.40835</v>
      </c>
      <c r="I863">
        <f t="shared" si="27"/>
        <v>1</v>
      </c>
    </row>
    <row r="864" spans="2:9" x14ac:dyDescent="0.25">
      <c r="B864">
        <v>54670</v>
      </c>
      <c r="C864" t="s">
        <v>1206</v>
      </c>
      <c r="D864" t="s">
        <v>1237</v>
      </c>
      <c r="E864" t="str">
        <f t="shared" si="26"/>
        <v>NORTE DE SANTANDER - SAN CALIXTO</v>
      </c>
      <c r="F864">
        <v>14011</v>
      </c>
      <c r="G864">
        <v>0.49</v>
      </c>
      <c r="H864">
        <v>0.30135000000000001</v>
      </c>
      <c r="I864">
        <f t="shared" si="27"/>
        <v>1</v>
      </c>
    </row>
    <row r="865" spans="2:9" x14ac:dyDescent="0.25">
      <c r="B865">
        <v>54673</v>
      </c>
      <c r="C865" t="s">
        <v>1206</v>
      </c>
      <c r="D865" t="s">
        <v>1000</v>
      </c>
      <c r="E865" t="str">
        <f t="shared" si="26"/>
        <v>NORTE DE SANTANDER - SAN CAYETANO</v>
      </c>
      <c r="F865">
        <v>5866</v>
      </c>
      <c r="G865">
        <v>3.42</v>
      </c>
      <c r="H865">
        <v>2.1032999999999999</v>
      </c>
      <c r="I865">
        <f t="shared" si="27"/>
        <v>1</v>
      </c>
    </row>
    <row r="866" spans="2:9" x14ac:dyDescent="0.25">
      <c r="B866">
        <v>54680</v>
      </c>
      <c r="C866" t="s">
        <v>1206</v>
      </c>
      <c r="D866" t="s">
        <v>1238</v>
      </c>
      <c r="E866" t="str">
        <f t="shared" si="26"/>
        <v>NORTE DE SANTANDER - SANTIAGO</v>
      </c>
      <c r="F866">
        <v>2887</v>
      </c>
      <c r="G866">
        <v>0.87</v>
      </c>
      <c r="H866">
        <v>0.53505000000000003</v>
      </c>
      <c r="I866">
        <f t="shared" si="27"/>
        <v>1</v>
      </c>
    </row>
    <row r="867" spans="2:9" x14ac:dyDescent="0.25">
      <c r="B867">
        <v>54720</v>
      </c>
      <c r="C867" t="s">
        <v>1206</v>
      </c>
      <c r="D867" t="s">
        <v>1239</v>
      </c>
      <c r="E867" t="str">
        <f t="shared" si="26"/>
        <v>NORTE DE SANTANDER - SARDINATA</v>
      </c>
      <c r="F867">
        <v>22583</v>
      </c>
      <c r="G867">
        <v>7.61</v>
      </c>
      <c r="H867">
        <v>4.6801500000000003</v>
      </c>
      <c r="I867">
        <f t="shared" si="27"/>
        <v>1</v>
      </c>
    </row>
    <row r="868" spans="2:9" x14ac:dyDescent="0.25">
      <c r="B868">
        <v>54743</v>
      </c>
      <c r="C868" t="s">
        <v>1206</v>
      </c>
      <c r="D868" t="s">
        <v>1240</v>
      </c>
      <c r="E868" t="str">
        <f t="shared" si="26"/>
        <v>NORTE DE SANTANDER - SILOS</v>
      </c>
      <c r="F868">
        <v>4124</v>
      </c>
      <c r="G868">
        <v>1.76</v>
      </c>
      <c r="H868">
        <v>1.0824</v>
      </c>
      <c r="I868">
        <f t="shared" si="27"/>
        <v>1</v>
      </c>
    </row>
    <row r="869" spans="2:9" x14ac:dyDescent="0.25">
      <c r="B869">
        <v>54800</v>
      </c>
      <c r="C869" t="s">
        <v>1206</v>
      </c>
      <c r="D869" t="s">
        <v>1241</v>
      </c>
      <c r="E869" t="str">
        <f t="shared" si="26"/>
        <v>NORTE DE SANTANDER - TEORAMA</v>
      </c>
      <c r="F869">
        <v>23381</v>
      </c>
      <c r="G869">
        <v>3.26</v>
      </c>
      <c r="H869">
        <v>2.0048999999999997</v>
      </c>
      <c r="I869">
        <f t="shared" si="27"/>
        <v>1</v>
      </c>
    </row>
    <row r="870" spans="2:9" x14ac:dyDescent="0.25">
      <c r="B870">
        <v>54810</v>
      </c>
      <c r="C870" t="s">
        <v>1206</v>
      </c>
      <c r="D870" t="s">
        <v>1242</v>
      </c>
      <c r="E870" t="str">
        <f t="shared" si="26"/>
        <v>NORTE DE SANTANDER - TIBÚ</v>
      </c>
      <c r="F870">
        <v>37286</v>
      </c>
      <c r="G870">
        <v>20.71</v>
      </c>
      <c r="H870">
        <v>12.736650000000001</v>
      </c>
      <c r="I870">
        <f t="shared" si="27"/>
        <v>2</v>
      </c>
    </row>
    <row r="871" spans="2:9" x14ac:dyDescent="0.25">
      <c r="B871">
        <v>54820</v>
      </c>
      <c r="C871" t="s">
        <v>1206</v>
      </c>
      <c r="D871" t="s">
        <v>529</v>
      </c>
      <c r="E871" t="str">
        <f t="shared" si="26"/>
        <v>NORTE DE SANTANDER - TOLEDO</v>
      </c>
      <c r="F871">
        <v>17288</v>
      </c>
      <c r="G871">
        <v>3.5</v>
      </c>
      <c r="H871">
        <v>2.1524999999999999</v>
      </c>
      <c r="I871">
        <f t="shared" si="27"/>
        <v>1</v>
      </c>
    </row>
    <row r="872" spans="2:9" x14ac:dyDescent="0.25">
      <c r="B872">
        <v>54871</v>
      </c>
      <c r="C872" t="s">
        <v>1206</v>
      </c>
      <c r="D872" t="s">
        <v>1243</v>
      </c>
      <c r="E872" t="str">
        <f t="shared" si="26"/>
        <v>NORTE DE SANTANDER - VILLA CARO</v>
      </c>
      <c r="F872">
        <v>5238</v>
      </c>
      <c r="G872">
        <v>0.6</v>
      </c>
      <c r="H872">
        <v>0.36899999999999999</v>
      </c>
      <c r="I872">
        <f t="shared" si="27"/>
        <v>1</v>
      </c>
    </row>
    <row r="873" spans="2:9" x14ac:dyDescent="0.25">
      <c r="B873">
        <v>54874</v>
      </c>
      <c r="C873" t="s">
        <v>1206</v>
      </c>
      <c r="D873" t="s">
        <v>1244</v>
      </c>
      <c r="E873" t="str">
        <f t="shared" si="26"/>
        <v>NORTE DE SANTANDER - VILLA DEL ROSARIO</v>
      </c>
      <c r="F873">
        <v>96953</v>
      </c>
      <c r="G873">
        <v>67.67</v>
      </c>
      <c r="H873">
        <v>41.617049999999999</v>
      </c>
      <c r="I873">
        <f t="shared" si="27"/>
        <v>2</v>
      </c>
    </row>
    <row r="874" spans="2:9" x14ac:dyDescent="0.25">
      <c r="B874">
        <v>86001</v>
      </c>
      <c r="C874" t="s">
        <v>1245</v>
      </c>
      <c r="D874" t="s">
        <v>1246</v>
      </c>
      <c r="E874" t="str">
        <f t="shared" si="26"/>
        <v>PUTUMAYO - MOCOA</v>
      </c>
      <c r="F874">
        <v>45589</v>
      </c>
      <c r="G874">
        <v>28.05</v>
      </c>
      <c r="H874">
        <v>17.25075</v>
      </c>
      <c r="I874">
        <f t="shared" si="27"/>
        <v>2</v>
      </c>
    </row>
    <row r="875" spans="2:9" x14ac:dyDescent="0.25">
      <c r="B875">
        <v>86219</v>
      </c>
      <c r="C875" t="s">
        <v>1245</v>
      </c>
      <c r="D875" t="s">
        <v>1160</v>
      </c>
      <c r="E875" t="str">
        <f t="shared" si="26"/>
        <v>PUTUMAYO - COLÓN</v>
      </c>
      <c r="F875">
        <v>5701</v>
      </c>
      <c r="G875">
        <v>0.47</v>
      </c>
      <c r="H875">
        <v>0.28904999999999997</v>
      </c>
      <c r="I875">
        <f t="shared" si="27"/>
        <v>1</v>
      </c>
    </row>
    <row r="876" spans="2:9" x14ac:dyDescent="0.25">
      <c r="B876">
        <v>86320</v>
      </c>
      <c r="C876" t="s">
        <v>1245</v>
      </c>
      <c r="D876" t="s">
        <v>1247</v>
      </c>
      <c r="E876" t="str">
        <f t="shared" si="26"/>
        <v>PUTUMAYO - ORITO</v>
      </c>
      <c r="F876">
        <v>57774</v>
      </c>
      <c r="G876">
        <v>19.010000000000002</v>
      </c>
      <c r="H876">
        <v>11.69115</v>
      </c>
      <c r="I876">
        <f t="shared" si="27"/>
        <v>2</v>
      </c>
    </row>
    <row r="877" spans="2:9" x14ac:dyDescent="0.25">
      <c r="B877">
        <v>86568</v>
      </c>
      <c r="C877" t="s">
        <v>1245</v>
      </c>
      <c r="D877" t="s">
        <v>1248</v>
      </c>
      <c r="E877" t="str">
        <f t="shared" si="26"/>
        <v>PUTUMAYO - PUERTO ASÍS</v>
      </c>
      <c r="F877">
        <v>63067</v>
      </c>
      <c r="G877">
        <v>40.549999999999997</v>
      </c>
      <c r="H877">
        <v>24.938249999999996</v>
      </c>
      <c r="I877">
        <f t="shared" si="27"/>
        <v>2</v>
      </c>
    </row>
    <row r="878" spans="2:9" x14ac:dyDescent="0.25">
      <c r="B878">
        <v>86569</v>
      </c>
      <c r="C878" t="s">
        <v>1245</v>
      </c>
      <c r="D878" t="s">
        <v>1249</v>
      </c>
      <c r="E878" t="str">
        <f t="shared" si="26"/>
        <v>PUTUMAYO - PUERTO CAICEDO</v>
      </c>
      <c r="F878">
        <v>14784</v>
      </c>
      <c r="G878">
        <v>2.1</v>
      </c>
      <c r="H878">
        <v>1.2915000000000001</v>
      </c>
      <c r="I878">
        <f t="shared" si="27"/>
        <v>1</v>
      </c>
    </row>
    <row r="879" spans="2:9" x14ac:dyDescent="0.25">
      <c r="B879">
        <v>86571</v>
      </c>
      <c r="C879" t="s">
        <v>1245</v>
      </c>
      <c r="D879" t="s">
        <v>1250</v>
      </c>
      <c r="E879" t="str">
        <f t="shared" si="26"/>
        <v>PUTUMAYO - PUERTO GUZMÁN</v>
      </c>
      <c r="F879">
        <v>24355</v>
      </c>
      <c r="G879">
        <v>0.55000000000000004</v>
      </c>
      <c r="H879">
        <v>0.33825</v>
      </c>
      <c r="I879">
        <f t="shared" si="27"/>
        <v>1</v>
      </c>
    </row>
    <row r="880" spans="2:9" x14ac:dyDescent="0.25">
      <c r="B880">
        <v>86573</v>
      </c>
      <c r="C880" t="s">
        <v>1245</v>
      </c>
      <c r="D880" t="s">
        <v>1251</v>
      </c>
      <c r="E880" t="str">
        <f t="shared" si="26"/>
        <v>PUTUMAYO - PUERTO LEGUÍZAMO</v>
      </c>
      <c r="F880">
        <v>15371</v>
      </c>
      <c r="G880">
        <v>6.4</v>
      </c>
      <c r="H880">
        <v>3.9359999999999999</v>
      </c>
      <c r="I880">
        <f t="shared" si="27"/>
        <v>1</v>
      </c>
    </row>
    <row r="881" spans="2:9" x14ac:dyDescent="0.25">
      <c r="B881">
        <v>86749</v>
      </c>
      <c r="C881" t="s">
        <v>1245</v>
      </c>
      <c r="D881" t="s">
        <v>1252</v>
      </c>
      <c r="E881" t="str">
        <f t="shared" si="26"/>
        <v>PUTUMAYO - SIBUNDOY</v>
      </c>
      <c r="F881">
        <v>14483</v>
      </c>
      <c r="G881">
        <v>3.57</v>
      </c>
      <c r="H881">
        <v>2.1955499999999999</v>
      </c>
      <c r="I881">
        <f t="shared" si="27"/>
        <v>1</v>
      </c>
    </row>
    <row r="882" spans="2:9" x14ac:dyDescent="0.25">
      <c r="B882">
        <v>86755</v>
      </c>
      <c r="C882" t="s">
        <v>1245</v>
      </c>
      <c r="D882" t="s">
        <v>508</v>
      </c>
      <c r="E882" t="str">
        <f t="shared" si="26"/>
        <v>PUTUMAYO - SAN FRANCISCO</v>
      </c>
      <c r="F882">
        <v>7227</v>
      </c>
      <c r="G882">
        <v>7</v>
      </c>
      <c r="H882">
        <v>4.3049999999999997</v>
      </c>
      <c r="I882">
        <f t="shared" si="27"/>
        <v>1</v>
      </c>
    </row>
    <row r="883" spans="2:9" x14ac:dyDescent="0.25">
      <c r="B883">
        <v>86757</v>
      </c>
      <c r="C883" t="s">
        <v>1245</v>
      </c>
      <c r="D883" t="s">
        <v>1253</v>
      </c>
      <c r="E883" t="str">
        <f t="shared" si="26"/>
        <v>PUTUMAYO - SAN MIGUEL</v>
      </c>
      <c r="F883">
        <v>28982</v>
      </c>
      <c r="G883">
        <v>9.8699999999999992</v>
      </c>
      <c r="H883">
        <v>6.0700499999999993</v>
      </c>
      <c r="I883">
        <f t="shared" si="27"/>
        <v>1</v>
      </c>
    </row>
    <row r="884" spans="2:9" x14ac:dyDescent="0.25">
      <c r="B884">
        <v>86760</v>
      </c>
      <c r="C884" t="s">
        <v>1245</v>
      </c>
      <c r="D884" t="s">
        <v>1238</v>
      </c>
      <c r="E884" t="str">
        <f t="shared" si="26"/>
        <v>PUTUMAYO - SANTIAGO</v>
      </c>
      <c r="F884">
        <v>10890</v>
      </c>
      <c r="G884">
        <v>4.43</v>
      </c>
      <c r="H884">
        <v>2.7244499999999996</v>
      </c>
      <c r="I884">
        <f t="shared" si="27"/>
        <v>1</v>
      </c>
    </row>
    <row r="885" spans="2:9" x14ac:dyDescent="0.25">
      <c r="B885">
        <v>86865</v>
      </c>
      <c r="C885" t="s">
        <v>1245</v>
      </c>
      <c r="D885" t="s">
        <v>1254</v>
      </c>
      <c r="E885" t="str">
        <f t="shared" si="26"/>
        <v>PUTUMAYO - VALLE DEL GUAMUEZ</v>
      </c>
      <c r="F885">
        <v>54237</v>
      </c>
      <c r="G885">
        <v>17.04</v>
      </c>
      <c r="H885">
        <v>10.4796</v>
      </c>
      <c r="I885">
        <f t="shared" si="27"/>
        <v>2</v>
      </c>
    </row>
    <row r="886" spans="2:9" x14ac:dyDescent="0.25">
      <c r="B886">
        <v>86885</v>
      </c>
      <c r="C886" t="s">
        <v>1245</v>
      </c>
      <c r="D886" t="s">
        <v>1255</v>
      </c>
      <c r="E886" t="str">
        <f t="shared" si="26"/>
        <v>PUTUMAYO - VILLAGARZÓN</v>
      </c>
      <c r="F886">
        <v>21507</v>
      </c>
      <c r="G886">
        <v>10.59</v>
      </c>
      <c r="H886">
        <v>6.5128500000000003</v>
      </c>
      <c r="I886">
        <f t="shared" si="27"/>
        <v>1</v>
      </c>
    </row>
    <row r="887" spans="2:9" x14ac:dyDescent="0.25">
      <c r="B887">
        <v>63001</v>
      </c>
      <c r="C887" t="s">
        <v>1256</v>
      </c>
      <c r="D887" t="s">
        <v>433</v>
      </c>
      <c r="E887" t="str">
        <f t="shared" si="26"/>
        <v>QUINDÍO - ARMENIA</v>
      </c>
      <c r="F887">
        <v>302723</v>
      </c>
      <c r="G887">
        <v>220.23</v>
      </c>
      <c r="H887">
        <v>135.44145</v>
      </c>
      <c r="I887">
        <f t="shared" si="27"/>
        <v>3</v>
      </c>
    </row>
    <row r="888" spans="2:9" x14ac:dyDescent="0.25">
      <c r="B888">
        <v>63111</v>
      </c>
      <c r="C888" t="s">
        <v>1256</v>
      </c>
      <c r="D888" t="s">
        <v>633</v>
      </c>
      <c r="E888" t="str">
        <f t="shared" si="26"/>
        <v>QUINDÍO - BUENAVISTA</v>
      </c>
      <c r="F888">
        <v>2730</v>
      </c>
      <c r="G888">
        <v>0.96</v>
      </c>
      <c r="H888">
        <v>0.59039999999999992</v>
      </c>
      <c r="I888">
        <f t="shared" si="27"/>
        <v>1</v>
      </c>
    </row>
    <row r="889" spans="2:9" x14ac:dyDescent="0.25">
      <c r="B889">
        <v>63130</v>
      </c>
      <c r="C889" t="s">
        <v>1256</v>
      </c>
      <c r="D889" t="s">
        <v>1257</v>
      </c>
      <c r="E889" t="str">
        <f t="shared" si="26"/>
        <v>QUINDÍO - CALARCÁ</v>
      </c>
      <c r="F889">
        <v>79174</v>
      </c>
      <c r="G889">
        <v>38.94</v>
      </c>
      <c r="H889">
        <v>23.948099999999997</v>
      </c>
      <c r="I889">
        <f t="shared" si="27"/>
        <v>2</v>
      </c>
    </row>
    <row r="890" spans="2:9" x14ac:dyDescent="0.25">
      <c r="B890">
        <v>63190</v>
      </c>
      <c r="C890" t="s">
        <v>1256</v>
      </c>
      <c r="D890" t="s">
        <v>1258</v>
      </c>
      <c r="E890" t="str">
        <f t="shared" si="26"/>
        <v>QUINDÍO - CIRCASIA</v>
      </c>
      <c r="F890">
        <v>30914</v>
      </c>
      <c r="G890">
        <v>15.07</v>
      </c>
      <c r="H890">
        <v>9.2680500000000006</v>
      </c>
      <c r="I890">
        <f t="shared" si="27"/>
        <v>1</v>
      </c>
    </row>
    <row r="891" spans="2:9" x14ac:dyDescent="0.25">
      <c r="B891">
        <v>63212</v>
      </c>
      <c r="C891" t="s">
        <v>1256</v>
      </c>
      <c r="D891" t="s">
        <v>588</v>
      </c>
      <c r="E891" t="str">
        <f t="shared" si="26"/>
        <v>QUINDÍO - CÓRDOBA</v>
      </c>
      <c r="F891">
        <v>5249</v>
      </c>
      <c r="G891">
        <v>1.69</v>
      </c>
      <c r="H891">
        <v>1.03935</v>
      </c>
      <c r="I891">
        <f t="shared" si="27"/>
        <v>1</v>
      </c>
    </row>
    <row r="892" spans="2:9" x14ac:dyDescent="0.25">
      <c r="B892">
        <v>63272</v>
      </c>
      <c r="C892" t="s">
        <v>1256</v>
      </c>
      <c r="D892" t="s">
        <v>1259</v>
      </c>
      <c r="E892" t="str">
        <f t="shared" si="26"/>
        <v>QUINDÍO - FILANDIA</v>
      </c>
      <c r="F892">
        <v>13628</v>
      </c>
      <c r="G892">
        <v>4.0599999999999996</v>
      </c>
      <c r="H892">
        <v>2.4968999999999997</v>
      </c>
      <c r="I892">
        <f t="shared" si="27"/>
        <v>1</v>
      </c>
    </row>
    <row r="893" spans="2:9" x14ac:dyDescent="0.25">
      <c r="B893">
        <v>63302</v>
      </c>
      <c r="C893" t="s">
        <v>1256</v>
      </c>
      <c r="D893" t="s">
        <v>1260</v>
      </c>
      <c r="E893" t="str">
        <f t="shared" si="26"/>
        <v>QUINDÍO - GÉNOVA</v>
      </c>
      <c r="F893">
        <v>7351</v>
      </c>
      <c r="G893">
        <v>2.94</v>
      </c>
      <c r="H893">
        <v>1.8081</v>
      </c>
      <c r="I893">
        <f t="shared" si="27"/>
        <v>1</v>
      </c>
    </row>
    <row r="894" spans="2:9" x14ac:dyDescent="0.25">
      <c r="B894">
        <v>63401</v>
      </c>
      <c r="C894" t="s">
        <v>1256</v>
      </c>
      <c r="D894" t="s">
        <v>1261</v>
      </c>
      <c r="E894" t="str">
        <f t="shared" si="26"/>
        <v>QUINDÍO - LA TEBAIDA</v>
      </c>
      <c r="F894">
        <v>46323</v>
      </c>
      <c r="G894">
        <v>22.92</v>
      </c>
      <c r="H894">
        <v>14.095800000000001</v>
      </c>
      <c r="I894">
        <f t="shared" si="27"/>
        <v>2</v>
      </c>
    </row>
    <row r="895" spans="2:9" x14ac:dyDescent="0.25">
      <c r="B895">
        <v>63470</v>
      </c>
      <c r="C895" t="s">
        <v>1256</v>
      </c>
      <c r="D895" t="s">
        <v>1262</v>
      </c>
      <c r="E895" t="str">
        <f t="shared" si="26"/>
        <v>QUINDÍO - MONTENEGRO</v>
      </c>
      <c r="F895">
        <v>41857</v>
      </c>
      <c r="G895">
        <v>23.34</v>
      </c>
      <c r="H895">
        <v>14.354099999999999</v>
      </c>
      <c r="I895">
        <f t="shared" si="27"/>
        <v>2</v>
      </c>
    </row>
    <row r="896" spans="2:9" x14ac:dyDescent="0.25">
      <c r="B896">
        <v>63548</v>
      </c>
      <c r="C896" t="s">
        <v>1256</v>
      </c>
      <c r="D896" t="s">
        <v>1263</v>
      </c>
      <c r="E896" t="str">
        <f t="shared" si="26"/>
        <v>QUINDÍO - PIJAO</v>
      </c>
      <c r="F896">
        <v>5940</v>
      </c>
      <c r="G896">
        <v>2.04</v>
      </c>
      <c r="H896">
        <v>1.2545999999999999</v>
      </c>
      <c r="I896">
        <f t="shared" si="27"/>
        <v>1</v>
      </c>
    </row>
    <row r="897" spans="2:9" x14ac:dyDescent="0.25">
      <c r="B897">
        <v>63594</v>
      </c>
      <c r="C897" t="s">
        <v>1256</v>
      </c>
      <c r="D897" t="s">
        <v>1264</v>
      </c>
      <c r="E897" t="str">
        <f t="shared" si="26"/>
        <v>QUINDÍO - QUIMBAYA</v>
      </c>
      <c r="F897">
        <v>35276</v>
      </c>
      <c r="G897">
        <v>15.75</v>
      </c>
      <c r="H897">
        <v>9.6862499999999994</v>
      </c>
      <c r="I897">
        <f t="shared" si="27"/>
        <v>1</v>
      </c>
    </row>
    <row r="898" spans="2:9" x14ac:dyDescent="0.25">
      <c r="B898">
        <v>63690</v>
      </c>
      <c r="C898" t="s">
        <v>1256</v>
      </c>
      <c r="D898" t="s">
        <v>1265</v>
      </c>
      <c r="E898" t="str">
        <f t="shared" si="26"/>
        <v>QUINDÍO - SALENTO</v>
      </c>
      <c r="F898">
        <v>7103</v>
      </c>
      <c r="G898">
        <v>5.49</v>
      </c>
      <c r="H898">
        <v>3.37635</v>
      </c>
      <c r="I898">
        <f t="shared" si="27"/>
        <v>1</v>
      </c>
    </row>
    <row r="899" spans="2:9" x14ac:dyDescent="0.25">
      <c r="B899">
        <v>66001</v>
      </c>
      <c r="C899" t="s">
        <v>763</v>
      </c>
      <c r="D899" t="s">
        <v>1266</v>
      </c>
      <c r="E899" t="str">
        <f t="shared" si="26"/>
        <v>RISARALDA - PEREIRA</v>
      </c>
      <c r="F899">
        <v>478892</v>
      </c>
      <c r="G899">
        <v>471.63</v>
      </c>
      <c r="H899">
        <v>290.05244999999996</v>
      </c>
      <c r="I899">
        <f t="shared" si="27"/>
        <v>3</v>
      </c>
    </row>
    <row r="900" spans="2:9" x14ac:dyDescent="0.25">
      <c r="B900">
        <v>66045</v>
      </c>
      <c r="C900" t="s">
        <v>763</v>
      </c>
      <c r="D900" t="s">
        <v>1267</v>
      </c>
      <c r="E900" t="str">
        <f t="shared" ref="E900:E963" si="28">C900&amp;" - "&amp;D900</f>
        <v>RISARALDA - APÍA</v>
      </c>
      <c r="F900">
        <v>19577</v>
      </c>
      <c r="G900">
        <v>2.96</v>
      </c>
      <c r="H900">
        <v>1.8204</v>
      </c>
      <c r="I900">
        <f t="shared" ref="I900:I963" si="29">IF(H900&lt;$P$3,$O$3,IF(H900&lt;$P$4,$O$4,IF(H900&lt;$P$5,$O$5,$O$6)))</f>
        <v>1</v>
      </c>
    </row>
    <row r="901" spans="2:9" x14ac:dyDescent="0.25">
      <c r="B901">
        <v>66075</v>
      </c>
      <c r="C901" t="s">
        <v>763</v>
      </c>
      <c r="D901" t="s">
        <v>808</v>
      </c>
      <c r="E901" t="str">
        <f t="shared" si="28"/>
        <v>RISARALDA - BALBOA</v>
      </c>
      <c r="F901">
        <v>6329</v>
      </c>
      <c r="G901">
        <v>0.98</v>
      </c>
      <c r="H901">
        <v>0.60270000000000001</v>
      </c>
      <c r="I901">
        <f t="shared" si="29"/>
        <v>1</v>
      </c>
    </row>
    <row r="902" spans="2:9" x14ac:dyDescent="0.25">
      <c r="B902">
        <v>66088</v>
      </c>
      <c r="C902" t="s">
        <v>763</v>
      </c>
      <c r="D902" t="s">
        <v>1268</v>
      </c>
      <c r="E902" t="str">
        <f t="shared" si="28"/>
        <v>RISARALDA - BELÉN DE UMBRÍA</v>
      </c>
      <c r="F902">
        <v>27727</v>
      </c>
      <c r="G902">
        <v>7.69</v>
      </c>
      <c r="H902">
        <v>4.7293500000000002</v>
      </c>
      <c r="I902">
        <f t="shared" si="29"/>
        <v>1</v>
      </c>
    </row>
    <row r="903" spans="2:9" x14ac:dyDescent="0.25">
      <c r="B903">
        <v>66170</v>
      </c>
      <c r="C903" t="s">
        <v>763</v>
      </c>
      <c r="D903" t="s">
        <v>1269</v>
      </c>
      <c r="E903" t="str">
        <f t="shared" si="28"/>
        <v>RISARALDA - DOSQUEBRADAS</v>
      </c>
      <c r="F903">
        <v>206692</v>
      </c>
      <c r="G903">
        <v>144.6</v>
      </c>
      <c r="H903">
        <v>88.929000000000002</v>
      </c>
      <c r="I903">
        <f t="shared" si="29"/>
        <v>3</v>
      </c>
    </row>
    <row r="904" spans="2:9" x14ac:dyDescent="0.25">
      <c r="B904">
        <v>66318</v>
      </c>
      <c r="C904" t="s">
        <v>763</v>
      </c>
      <c r="D904" t="s">
        <v>1270</v>
      </c>
      <c r="E904" t="str">
        <f t="shared" si="28"/>
        <v>RISARALDA - GUÁTICA</v>
      </c>
      <c r="F904">
        <v>15124</v>
      </c>
      <c r="G904">
        <v>2.08</v>
      </c>
      <c r="H904">
        <v>1.2792000000000001</v>
      </c>
      <c r="I904">
        <f t="shared" si="29"/>
        <v>1</v>
      </c>
    </row>
    <row r="905" spans="2:9" x14ac:dyDescent="0.25">
      <c r="B905">
        <v>66383</v>
      </c>
      <c r="C905" t="s">
        <v>763</v>
      </c>
      <c r="D905" t="s">
        <v>1271</v>
      </c>
      <c r="E905" t="str">
        <f t="shared" si="28"/>
        <v>RISARALDA - LA CELIA</v>
      </c>
      <c r="F905">
        <v>8523</v>
      </c>
      <c r="G905">
        <v>1.44</v>
      </c>
      <c r="H905">
        <v>0.88559999999999994</v>
      </c>
      <c r="I905">
        <f t="shared" si="29"/>
        <v>1</v>
      </c>
    </row>
    <row r="906" spans="2:9" x14ac:dyDescent="0.25">
      <c r="B906">
        <v>66400</v>
      </c>
      <c r="C906" t="s">
        <v>763</v>
      </c>
      <c r="D906" t="s">
        <v>1272</v>
      </c>
      <c r="E906" t="str">
        <f t="shared" si="28"/>
        <v>RISARALDA - LA VIRGINIA</v>
      </c>
      <c r="F906">
        <v>32330</v>
      </c>
      <c r="G906">
        <v>17.239999999999998</v>
      </c>
      <c r="H906">
        <v>10.602599999999999</v>
      </c>
      <c r="I906">
        <f t="shared" si="29"/>
        <v>2</v>
      </c>
    </row>
    <row r="907" spans="2:9" x14ac:dyDescent="0.25">
      <c r="B907">
        <v>66440</v>
      </c>
      <c r="C907" t="s">
        <v>763</v>
      </c>
      <c r="D907" t="s">
        <v>1273</v>
      </c>
      <c r="E907" t="str">
        <f t="shared" si="28"/>
        <v>RISARALDA - MARSELLA</v>
      </c>
      <c r="F907">
        <v>24131</v>
      </c>
      <c r="G907">
        <v>3.01</v>
      </c>
      <c r="H907">
        <v>1.8511499999999999</v>
      </c>
      <c r="I907">
        <f t="shared" si="29"/>
        <v>1</v>
      </c>
    </row>
    <row r="908" spans="2:9" x14ac:dyDescent="0.25">
      <c r="B908">
        <v>66456</v>
      </c>
      <c r="C908" t="s">
        <v>763</v>
      </c>
      <c r="D908" t="s">
        <v>1274</v>
      </c>
      <c r="E908" t="str">
        <f t="shared" si="28"/>
        <v>RISARALDA - MISTRATÓ</v>
      </c>
      <c r="F908">
        <v>16750</v>
      </c>
      <c r="G908">
        <v>2.15</v>
      </c>
      <c r="H908">
        <v>1.3222499999999999</v>
      </c>
      <c r="I908">
        <f t="shared" si="29"/>
        <v>1</v>
      </c>
    </row>
    <row r="909" spans="2:9" x14ac:dyDescent="0.25">
      <c r="B909">
        <v>66572</v>
      </c>
      <c r="C909" t="s">
        <v>763</v>
      </c>
      <c r="D909" t="s">
        <v>1275</v>
      </c>
      <c r="E909" t="str">
        <f t="shared" si="28"/>
        <v>RISARALDA - PUEBLO RICO</v>
      </c>
      <c r="F909">
        <v>14003</v>
      </c>
      <c r="G909">
        <v>2.0099999999999998</v>
      </c>
      <c r="H909">
        <v>1.2361499999999999</v>
      </c>
      <c r="I909">
        <f t="shared" si="29"/>
        <v>1</v>
      </c>
    </row>
    <row r="910" spans="2:9" x14ac:dyDescent="0.25">
      <c r="B910">
        <v>66594</v>
      </c>
      <c r="C910" t="s">
        <v>763</v>
      </c>
      <c r="D910" t="s">
        <v>1276</v>
      </c>
      <c r="E910" t="str">
        <f t="shared" si="28"/>
        <v>RISARALDA - QUINCHÍA</v>
      </c>
      <c r="F910">
        <v>34005</v>
      </c>
      <c r="G910">
        <v>4.1100000000000003</v>
      </c>
      <c r="H910">
        <v>2.52765</v>
      </c>
      <c r="I910">
        <f t="shared" si="29"/>
        <v>1</v>
      </c>
    </row>
    <row r="911" spans="2:9" x14ac:dyDescent="0.25">
      <c r="B911">
        <v>66682</v>
      </c>
      <c r="C911" t="s">
        <v>763</v>
      </c>
      <c r="D911" t="s">
        <v>1277</v>
      </c>
      <c r="E911" t="str">
        <f t="shared" si="28"/>
        <v>RISARALDA - SANTA ROSA DE CABAL</v>
      </c>
      <c r="F911">
        <v>73028</v>
      </c>
      <c r="G911">
        <v>41.7</v>
      </c>
      <c r="H911">
        <v>25.645500000000002</v>
      </c>
      <c r="I911">
        <f t="shared" si="29"/>
        <v>2</v>
      </c>
    </row>
    <row r="912" spans="2:9" x14ac:dyDescent="0.25">
      <c r="B912">
        <v>66687</v>
      </c>
      <c r="C912" t="s">
        <v>763</v>
      </c>
      <c r="D912" t="s">
        <v>1278</v>
      </c>
      <c r="E912" t="str">
        <f t="shared" si="28"/>
        <v>RISARALDA - SANTUARIO</v>
      </c>
      <c r="F912">
        <v>15867</v>
      </c>
      <c r="G912">
        <v>3.42</v>
      </c>
      <c r="H912">
        <v>2.1032999999999999</v>
      </c>
      <c r="I912">
        <f t="shared" si="29"/>
        <v>1</v>
      </c>
    </row>
    <row r="913" spans="2:9" x14ac:dyDescent="0.25">
      <c r="B913">
        <v>68001</v>
      </c>
      <c r="C913" t="s">
        <v>1279</v>
      </c>
      <c r="D913" t="s">
        <v>1280</v>
      </c>
      <c r="E913" t="str">
        <f t="shared" si="28"/>
        <v>SANTANDER - BUCARAMANGA</v>
      </c>
      <c r="F913">
        <v>528610</v>
      </c>
      <c r="G913">
        <v>544.25</v>
      </c>
      <c r="H913">
        <v>334.71375</v>
      </c>
      <c r="I913">
        <f t="shared" si="29"/>
        <v>3</v>
      </c>
    </row>
    <row r="914" spans="2:9" x14ac:dyDescent="0.25">
      <c r="B914">
        <v>68013</v>
      </c>
      <c r="C914" t="s">
        <v>1279</v>
      </c>
      <c r="D914" t="s">
        <v>1281</v>
      </c>
      <c r="E914" t="str">
        <f t="shared" si="28"/>
        <v>SANTANDER - AGUADA</v>
      </c>
      <c r="F914">
        <v>1763</v>
      </c>
      <c r="G914">
        <v>0.21</v>
      </c>
      <c r="H914">
        <v>0.12914999999999999</v>
      </c>
      <c r="I914">
        <f t="shared" si="29"/>
        <v>1</v>
      </c>
    </row>
    <row r="915" spans="2:9" x14ac:dyDescent="0.25">
      <c r="B915">
        <v>68020</v>
      </c>
      <c r="C915" t="s">
        <v>1279</v>
      </c>
      <c r="D915" t="s">
        <v>773</v>
      </c>
      <c r="E915" t="str">
        <f t="shared" si="28"/>
        <v>SANTANDER - ALBANIA</v>
      </c>
      <c r="F915">
        <v>5357</v>
      </c>
      <c r="G915">
        <v>0.22</v>
      </c>
      <c r="H915">
        <v>0.1353</v>
      </c>
      <c r="I915">
        <f t="shared" si="29"/>
        <v>1</v>
      </c>
    </row>
    <row r="916" spans="2:9" x14ac:dyDescent="0.25">
      <c r="B916">
        <v>68051</v>
      </c>
      <c r="C916" t="s">
        <v>1279</v>
      </c>
      <c r="D916" t="s">
        <v>1282</v>
      </c>
      <c r="E916" t="str">
        <f t="shared" si="28"/>
        <v>SANTANDER - ARATOCA</v>
      </c>
      <c r="F916">
        <v>8269</v>
      </c>
      <c r="G916">
        <v>3.82</v>
      </c>
      <c r="H916">
        <v>2.3492999999999999</v>
      </c>
      <c r="I916">
        <f t="shared" si="29"/>
        <v>1</v>
      </c>
    </row>
    <row r="917" spans="2:9" x14ac:dyDescent="0.25">
      <c r="B917">
        <v>68077</v>
      </c>
      <c r="C917" t="s">
        <v>1279</v>
      </c>
      <c r="D917" t="s">
        <v>434</v>
      </c>
      <c r="E917" t="str">
        <f t="shared" si="28"/>
        <v>SANTANDER - BARBOSA</v>
      </c>
      <c r="F917">
        <v>29581</v>
      </c>
      <c r="G917">
        <v>19.64</v>
      </c>
      <c r="H917">
        <v>12.0786</v>
      </c>
      <c r="I917">
        <f t="shared" si="29"/>
        <v>2</v>
      </c>
    </row>
    <row r="918" spans="2:9" x14ac:dyDescent="0.25">
      <c r="B918">
        <v>68079</v>
      </c>
      <c r="C918" t="s">
        <v>1279</v>
      </c>
      <c r="D918" t="s">
        <v>1283</v>
      </c>
      <c r="E918" t="str">
        <f t="shared" si="28"/>
        <v>SANTANDER - BARICHARA</v>
      </c>
      <c r="F918">
        <v>7010</v>
      </c>
      <c r="G918">
        <v>3.1</v>
      </c>
      <c r="H918">
        <v>1.9065000000000001</v>
      </c>
      <c r="I918">
        <f t="shared" si="29"/>
        <v>1</v>
      </c>
    </row>
    <row r="919" spans="2:9" x14ac:dyDescent="0.25">
      <c r="B919">
        <v>68081</v>
      </c>
      <c r="C919" t="s">
        <v>1279</v>
      </c>
      <c r="D919" t="s">
        <v>1284</v>
      </c>
      <c r="E919" t="str">
        <f t="shared" si="28"/>
        <v>SANTANDER - BARRANCABERMEJA</v>
      </c>
      <c r="F919">
        <v>191340</v>
      </c>
      <c r="G919">
        <v>148.26</v>
      </c>
      <c r="H919">
        <v>91.179899999999989</v>
      </c>
      <c r="I919">
        <f t="shared" si="29"/>
        <v>3</v>
      </c>
    </row>
    <row r="920" spans="2:9" x14ac:dyDescent="0.25">
      <c r="B920">
        <v>68092</v>
      </c>
      <c r="C920" t="s">
        <v>1279</v>
      </c>
      <c r="D920" t="s">
        <v>438</v>
      </c>
      <c r="E920" t="str">
        <f t="shared" si="28"/>
        <v>SANTANDER - BETULIA</v>
      </c>
      <c r="F920">
        <v>5014</v>
      </c>
      <c r="G920">
        <v>2.13</v>
      </c>
      <c r="H920">
        <v>1.3099499999999999</v>
      </c>
      <c r="I920">
        <f t="shared" si="29"/>
        <v>1</v>
      </c>
    </row>
    <row r="921" spans="2:9" x14ac:dyDescent="0.25">
      <c r="B921">
        <v>68101</v>
      </c>
      <c r="C921" t="s">
        <v>1279</v>
      </c>
      <c r="D921" t="s">
        <v>577</v>
      </c>
      <c r="E921" t="str">
        <f t="shared" si="28"/>
        <v>SANTANDER - BOLÍVAR</v>
      </c>
      <c r="F921">
        <v>11778</v>
      </c>
      <c r="G921">
        <v>0.42</v>
      </c>
      <c r="H921">
        <v>0.25829999999999997</v>
      </c>
      <c r="I921">
        <f t="shared" si="29"/>
        <v>1</v>
      </c>
    </row>
    <row r="922" spans="2:9" x14ac:dyDescent="0.25">
      <c r="B922">
        <v>68121</v>
      </c>
      <c r="C922" t="s">
        <v>1279</v>
      </c>
      <c r="D922" t="s">
        <v>935</v>
      </c>
      <c r="E922" t="str">
        <f t="shared" si="28"/>
        <v>SANTANDER - CABRERA</v>
      </c>
      <c r="F922">
        <v>2442</v>
      </c>
      <c r="G922">
        <v>0.12</v>
      </c>
      <c r="H922">
        <v>7.3799999999999991E-2</v>
      </c>
      <c r="I922">
        <f t="shared" si="29"/>
        <v>1</v>
      </c>
    </row>
    <row r="923" spans="2:9" x14ac:dyDescent="0.25">
      <c r="B923">
        <v>68132</v>
      </c>
      <c r="C923" t="s">
        <v>1279</v>
      </c>
      <c r="D923" t="s">
        <v>1285</v>
      </c>
      <c r="E923" t="str">
        <f t="shared" si="28"/>
        <v>SANTANDER - CALIFORNIA</v>
      </c>
      <c r="F923">
        <v>2062</v>
      </c>
      <c r="G923">
        <v>0.38</v>
      </c>
      <c r="H923">
        <v>0.23369999999999999</v>
      </c>
      <c r="I923">
        <f t="shared" si="29"/>
        <v>1</v>
      </c>
    </row>
    <row r="924" spans="2:9" x14ac:dyDescent="0.25">
      <c r="B924">
        <v>68147</v>
      </c>
      <c r="C924" t="s">
        <v>1279</v>
      </c>
      <c r="D924" t="s">
        <v>1286</v>
      </c>
      <c r="E924" t="str">
        <f t="shared" si="28"/>
        <v>SANTANDER - CAPITANEJO</v>
      </c>
      <c r="F924">
        <v>5375</v>
      </c>
      <c r="G924">
        <v>1.39</v>
      </c>
      <c r="H924">
        <v>0.85484999999999989</v>
      </c>
      <c r="I924">
        <f t="shared" si="29"/>
        <v>1</v>
      </c>
    </row>
    <row r="925" spans="2:9" x14ac:dyDescent="0.25">
      <c r="B925">
        <v>68152</v>
      </c>
      <c r="C925" t="s">
        <v>1279</v>
      </c>
      <c r="D925" t="s">
        <v>1287</v>
      </c>
      <c r="E925" t="str">
        <f t="shared" si="28"/>
        <v>SANTANDER - CARCASÍ</v>
      </c>
      <c r="F925">
        <v>4938</v>
      </c>
      <c r="G925">
        <v>0.28999999999999998</v>
      </c>
      <c r="H925">
        <v>0.17834999999999998</v>
      </c>
      <c r="I925">
        <f t="shared" si="29"/>
        <v>1</v>
      </c>
    </row>
    <row r="926" spans="2:9" x14ac:dyDescent="0.25">
      <c r="B926">
        <v>68160</v>
      </c>
      <c r="C926" t="s">
        <v>1279</v>
      </c>
      <c r="D926" t="s">
        <v>1288</v>
      </c>
      <c r="E926" t="str">
        <f t="shared" si="28"/>
        <v>SANTANDER - CEPITÁ</v>
      </c>
      <c r="F926">
        <v>1804</v>
      </c>
      <c r="G926">
        <v>0.22</v>
      </c>
      <c r="H926">
        <v>0.1353</v>
      </c>
      <c r="I926">
        <f t="shared" si="29"/>
        <v>1</v>
      </c>
    </row>
    <row r="927" spans="2:9" x14ac:dyDescent="0.25">
      <c r="B927">
        <v>68162</v>
      </c>
      <c r="C927" t="s">
        <v>1279</v>
      </c>
      <c r="D927" t="s">
        <v>1289</v>
      </c>
      <c r="E927" t="str">
        <f t="shared" si="28"/>
        <v>SANTANDER - CERRITO</v>
      </c>
      <c r="F927">
        <v>5473</v>
      </c>
      <c r="G927">
        <v>1.51</v>
      </c>
      <c r="H927">
        <v>0.92864999999999998</v>
      </c>
      <c r="I927">
        <f t="shared" si="29"/>
        <v>1</v>
      </c>
    </row>
    <row r="928" spans="2:9" x14ac:dyDescent="0.25">
      <c r="B928">
        <v>68167</v>
      </c>
      <c r="C928" t="s">
        <v>1279</v>
      </c>
      <c r="D928" t="s">
        <v>1290</v>
      </c>
      <c r="E928" t="str">
        <f t="shared" si="28"/>
        <v>SANTANDER - CHARALÁ</v>
      </c>
      <c r="F928">
        <v>10211</v>
      </c>
      <c r="G928">
        <v>3.95</v>
      </c>
      <c r="H928">
        <v>2.4292500000000001</v>
      </c>
      <c r="I928">
        <f t="shared" si="29"/>
        <v>1</v>
      </c>
    </row>
    <row r="929" spans="2:9" x14ac:dyDescent="0.25">
      <c r="B929">
        <v>68169</v>
      </c>
      <c r="C929" t="s">
        <v>1279</v>
      </c>
      <c r="D929" t="s">
        <v>1291</v>
      </c>
      <c r="E929" t="str">
        <f t="shared" si="28"/>
        <v>SANTANDER - CHARTA</v>
      </c>
      <c r="F929">
        <v>2514</v>
      </c>
      <c r="G929">
        <v>0.22</v>
      </c>
      <c r="H929">
        <v>0.1353</v>
      </c>
      <c r="I929">
        <f t="shared" si="29"/>
        <v>1</v>
      </c>
    </row>
    <row r="930" spans="2:9" x14ac:dyDescent="0.25">
      <c r="B930">
        <v>68176</v>
      </c>
      <c r="C930" t="s">
        <v>1279</v>
      </c>
      <c r="D930" t="s">
        <v>1292</v>
      </c>
      <c r="E930" t="str">
        <f t="shared" si="28"/>
        <v>SANTANDER - CHIMA</v>
      </c>
      <c r="F930">
        <v>2999</v>
      </c>
      <c r="G930">
        <v>0.27</v>
      </c>
      <c r="H930">
        <v>0.16605</v>
      </c>
      <c r="I930">
        <f t="shared" si="29"/>
        <v>1</v>
      </c>
    </row>
    <row r="931" spans="2:9" x14ac:dyDescent="0.25">
      <c r="B931">
        <v>68179</v>
      </c>
      <c r="C931" t="s">
        <v>1279</v>
      </c>
      <c r="D931" t="s">
        <v>1293</v>
      </c>
      <c r="E931" t="str">
        <f t="shared" si="28"/>
        <v>SANTANDER - CHIPATÁ</v>
      </c>
      <c r="F931">
        <v>5052</v>
      </c>
      <c r="G931">
        <v>0.21</v>
      </c>
      <c r="H931">
        <v>0.12914999999999999</v>
      </c>
      <c r="I931">
        <f t="shared" si="29"/>
        <v>1</v>
      </c>
    </row>
    <row r="932" spans="2:9" x14ac:dyDescent="0.25">
      <c r="B932">
        <v>68190</v>
      </c>
      <c r="C932" t="s">
        <v>1279</v>
      </c>
      <c r="D932" t="s">
        <v>1294</v>
      </c>
      <c r="E932" t="str">
        <f t="shared" si="28"/>
        <v>SANTANDER - CIMITARRA</v>
      </c>
      <c r="F932">
        <v>49593</v>
      </c>
      <c r="G932">
        <v>15.13</v>
      </c>
      <c r="H932">
        <v>9.3049499999999998</v>
      </c>
      <c r="I932">
        <f t="shared" si="29"/>
        <v>1</v>
      </c>
    </row>
    <row r="933" spans="2:9" x14ac:dyDescent="0.25">
      <c r="B933">
        <v>68207</v>
      </c>
      <c r="C933" t="s">
        <v>1279</v>
      </c>
      <c r="D933" t="s">
        <v>456</v>
      </c>
      <c r="E933" t="str">
        <f t="shared" si="28"/>
        <v>SANTANDER - CONCEPCIÓN</v>
      </c>
      <c r="F933">
        <v>5042</v>
      </c>
      <c r="G933">
        <v>1.1399999999999999</v>
      </c>
      <c r="H933">
        <v>0.70109999999999995</v>
      </c>
      <c r="I933">
        <f t="shared" si="29"/>
        <v>1</v>
      </c>
    </row>
    <row r="934" spans="2:9" x14ac:dyDescent="0.25">
      <c r="B934">
        <v>68209</v>
      </c>
      <c r="C934" t="s">
        <v>1279</v>
      </c>
      <c r="D934" t="s">
        <v>1295</v>
      </c>
      <c r="E934" t="str">
        <f t="shared" si="28"/>
        <v>SANTANDER - CONFINES</v>
      </c>
      <c r="F934">
        <v>2689</v>
      </c>
      <c r="G934">
        <v>0.4</v>
      </c>
      <c r="H934">
        <v>0.246</v>
      </c>
      <c r="I934">
        <f t="shared" si="29"/>
        <v>1</v>
      </c>
    </row>
    <row r="935" spans="2:9" x14ac:dyDescent="0.25">
      <c r="B935">
        <v>68211</v>
      </c>
      <c r="C935" t="s">
        <v>1279</v>
      </c>
      <c r="D935" t="s">
        <v>1296</v>
      </c>
      <c r="E935" t="str">
        <f t="shared" si="28"/>
        <v>SANTANDER - CONTRATACIÓN</v>
      </c>
      <c r="F935">
        <v>3311</v>
      </c>
      <c r="G935">
        <v>0.46</v>
      </c>
      <c r="H935">
        <v>0.28289999999999998</v>
      </c>
      <c r="I935">
        <f t="shared" si="29"/>
        <v>1</v>
      </c>
    </row>
    <row r="936" spans="2:9" x14ac:dyDescent="0.25">
      <c r="B936">
        <v>68217</v>
      </c>
      <c r="C936" t="s">
        <v>1279</v>
      </c>
      <c r="D936" t="s">
        <v>1297</v>
      </c>
      <c r="E936" t="str">
        <f t="shared" si="28"/>
        <v>SANTANDER - COROMORO</v>
      </c>
      <c r="F936">
        <v>7659</v>
      </c>
      <c r="G936">
        <v>0.42</v>
      </c>
      <c r="H936">
        <v>0.25829999999999997</v>
      </c>
      <c r="I936">
        <f t="shared" si="29"/>
        <v>1</v>
      </c>
    </row>
    <row r="937" spans="2:9" x14ac:dyDescent="0.25">
      <c r="B937">
        <v>68229</v>
      </c>
      <c r="C937" t="s">
        <v>1279</v>
      </c>
      <c r="D937" t="s">
        <v>1298</v>
      </c>
      <c r="E937" t="str">
        <f t="shared" si="28"/>
        <v>SANTANDER - CURITÍ</v>
      </c>
      <c r="F937">
        <v>12065</v>
      </c>
      <c r="G937">
        <v>3.72</v>
      </c>
      <c r="H937">
        <v>2.2878000000000003</v>
      </c>
      <c r="I937">
        <f t="shared" si="29"/>
        <v>1</v>
      </c>
    </row>
    <row r="938" spans="2:9" x14ac:dyDescent="0.25">
      <c r="B938">
        <v>68235</v>
      </c>
      <c r="C938" t="s">
        <v>1279</v>
      </c>
      <c r="D938" t="s">
        <v>1299</v>
      </c>
      <c r="E938" t="str">
        <f t="shared" si="28"/>
        <v>SANTANDER - EL CARMEN DE CHUCURÍ</v>
      </c>
      <c r="F938">
        <v>20858</v>
      </c>
      <c r="G938">
        <v>0.69</v>
      </c>
      <c r="H938">
        <v>0.42434999999999995</v>
      </c>
      <c r="I938">
        <f t="shared" si="29"/>
        <v>1</v>
      </c>
    </row>
    <row r="939" spans="2:9" x14ac:dyDescent="0.25">
      <c r="B939">
        <v>68245</v>
      </c>
      <c r="C939" t="s">
        <v>1279</v>
      </c>
      <c r="D939" t="s">
        <v>1300</v>
      </c>
      <c r="E939" t="str">
        <f t="shared" si="28"/>
        <v>SANTANDER - EL GUACAMAYO</v>
      </c>
      <c r="F939">
        <v>1883</v>
      </c>
      <c r="G939">
        <v>0.17</v>
      </c>
      <c r="H939">
        <v>0.10455</v>
      </c>
      <c r="I939">
        <f t="shared" si="29"/>
        <v>1</v>
      </c>
    </row>
    <row r="940" spans="2:9" x14ac:dyDescent="0.25">
      <c r="B940">
        <v>68250</v>
      </c>
      <c r="C940" t="s">
        <v>1279</v>
      </c>
      <c r="D940" t="s">
        <v>592</v>
      </c>
      <c r="E940" t="str">
        <f t="shared" si="28"/>
        <v>SANTANDER - EL PEÑÓN</v>
      </c>
      <c r="F940">
        <v>5008</v>
      </c>
      <c r="G940">
        <v>0.43</v>
      </c>
      <c r="H940">
        <v>0.26445000000000002</v>
      </c>
      <c r="I940">
        <f t="shared" si="29"/>
        <v>1</v>
      </c>
    </row>
    <row r="941" spans="2:9" x14ac:dyDescent="0.25">
      <c r="B941">
        <v>68255</v>
      </c>
      <c r="C941" t="s">
        <v>1279</v>
      </c>
      <c r="D941" t="s">
        <v>1301</v>
      </c>
      <c r="E941" t="str">
        <f t="shared" si="28"/>
        <v>SANTANDER - EL PLAYÓN</v>
      </c>
      <c r="F941">
        <v>11252</v>
      </c>
      <c r="G941">
        <v>3.26</v>
      </c>
      <c r="H941">
        <v>2.0048999999999997</v>
      </c>
      <c r="I941">
        <f t="shared" si="29"/>
        <v>1</v>
      </c>
    </row>
    <row r="942" spans="2:9" x14ac:dyDescent="0.25">
      <c r="B942">
        <v>68264</v>
      </c>
      <c r="C942" t="s">
        <v>1279</v>
      </c>
      <c r="D942" t="s">
        <v>1302</v>
      </c>
      <c r="E942" t="str">
        <f t="shared" si="28"/>
        <v>SANTANDER - ENCINO</v>
      </c>
      <c r="F942">
        <v>2425</v>
      </c>
      <c r="G942">
        <v>0.31</v>
      </c>
      <c r="H942">
        <v>0.19064999999999999</v>
      </c>
      <c r="I942">
        <f t="shared" si="29"/>
        <v>1</v>
      </c>
    </row>
    <row r="943" spans="2:9" x14ac:dyDescent="0.25">
      <c r="B943">
        <v>68266</v>
      </c>
      <c r="C943" t="s">
        <v>1279</v>
      </c>
      <c r="D943" t="s">
        <v>1303</v>
      </c>
      <c r="E943" t="str">
        <f t="shared" si="28"/>
        <v>SANTANDER - ENCISO</v>
      </c>
      <c r="F943">
        <v>3085</v>
      </c>
      <c r="G943">
        <v>0.47</v>
      </c>
      <c r="H943">
        <v>0.28904999999999997</v>
      </c>
      <c r="I943">
        <f t="shared" si="29"/>
        <v>1</v>
      </c>
    </row>
    <row r="944" spans="2:9" x14ac:dyDescent="0.25">
      <c r="B944">
        <v>68271</v>
      </c>
      <c r="C944" t="s">
        <v>1279</v>
      </c>
      <c r="D944" t="s">
        <v>1304</v>
      </c>
      <c r="E944" t="str">
        <f t="shared" si="28"/>
        <v>SANTANDER - FLORIÁN</v>
      </c>
      <c r="F944">
        <v>6268</v>
      </c>
      <c r="G944">
        <v>0.37</v>
      </c>
      <c r="H944">
        <v>0.22755</v>
      </c>
      <c r="I944">
        <f t="shared" si="29"/>
        <v>1</v>
      </c>
    </row>
    <row r="945" spans="2:9" x14ac:dyDescent="0.25">
      <c r="B945">
        <v>68276</v>
      </c>
      <c r="C945" t="s">
        <v>1279</v>
      </c>
      <c r="D945" t="s">
        <v>1305</v>
      </c>
      <c r="E945" t="str">
        <f t="shared" si="28"/>
        <v>SANTANDER - FLORIDABLANCA</v>
      </c>
      <c r="F945">
        <v>267538</v>
      </c>
      <c r="G945">
        <v>201.48</v>
      </c>
      <c r="H945">
        <v>123.91019999999999</v>
      </c>
      <c r="I945">
        <f t="shared" si="29"/>
        <v>3</v>
      </c>
    </row>
    <row r="946" spans="2:9" x14ac:dyDescent="0.25">
      <c r="B946">
        <v>68296</v>
      </c>
      <c r="C946" t="s">
        <v>1279</v>
      </c>
      <c r="D946" t="s">
        <v>1306</v>
      </c>
      <c r="E946" t="str">
        <f t="shared" si="28"/>
        <v>SANTANDER - GALÁN</v>
      </c>
      <c r="F946">
        <v>2074</v>
      </c>
      <c r="G946">
        <v>0.93</v>
      </c>
      <c r="H946">
        <v>0.57195000000000007</v>
      </c>
      <c r="I946">
        <f t="shared" si="29"/>
        <v>1</v>
      </c>
    </row>
    <row r="947" spans="2:9" x14ac:dyDescent="0.25">
      <c r="B947">
        <v>68298</v>
      </c>
      <c r="C947" t="s">
        <v>1279</v>
      </c>
      <c r="D947" t="s">
        <v>1307</v>
      </c>
      <c r="E947" t="str">
        <f t="shared" si="28"/>
        <v>SANTANDER - GÁMBITA</v>
      </c>
      <c r="F947">
        <v>5043</v>
      </c>
      <c r="G947">
        <v>0.33</v>
      </c>
      <c r="H947">
        <v>0.20295000000000002</v>
      </c>
      <c r="I947">
        <f t="shared" si="29"/>
        <v>1</v>
      </c>
    </row>
    <row r="948" spans="2:9" x14ac:dyDescent="0.25">
      <c r="B948">
        <v>68307</v>
      </c>
      <c r="C948" t="s">
        <v>1279</v>
      </c>
      <c r="D948" t="s">
        <v>1308</v>
      </c>
      <c r="E948" t="str">
        <f t="shared" si="28"/>
        <v>SANTANDER - GIRÓN</v>
      </c>
      <c r="F948">
        <v>200733</v>
      </c>
      <c r="G948">
        <v>125.59</v>
      </c>
      <c r="H948">
        <v>77.237849999999995</v>
      </c>
      <c r="I948">
        <f t="shared" si="29"/>
        <v>3</v>
      </c>
    </row>
    <row r="949" spans="2:9" x14ac:dyDescent="0.25">
      <c r="B949">
        <v>68318</v>
      </c>
      <c r="C949" t="s">
        <v>1279</v>
      </c>
      <c r="D949" t="s">
        <v>1309</v>
      </c>
      <c r="E949" t="str">
        <f t="shared" si="28"/>
        <v>SANTANDER - GUACA</v>
      </c>
      <c r="F949">
        <v>6208</v>
      </c>
      <c r="G949">
        <v>0.56000000000000005</v>
      </c>
      <c r="H949">
        <v>0.34440000000000004</v>
      </c>
      <c r="I949">
        <f t="shared" si="29"/>
        <v>1</v>
      </c>
    </row>
    <row r="950" spans="2:9" x14ac:dyDescent="0.25">
      <c r="B950">
        <v>68320</v>
      </c>
      <c r="C950" t="s">
        <v>1279</v>
      </c>
      <c r="D950" t="s">
        <v>471</v>
      </c>
      <c r="E950" t="str">
        <f t="shared" si="28"/>
        <v>SANTANDER - GUADALUPE</v>
      </c>
      <c r="F950">
        <v>4448</v>
      </c>
      <c r="G950">
        <v>1.39</v>
      </c>
      <c r="H950">
        <v>0.85484999999999989</v>
      </c>
      <c r="I950">
        <f t="shared" si="29"/>
        <v>1</v>
      </c>
    </row>
    <row r="951" spans="2:9" x14ac:dyDescent="0.25">
      <c r="B951">
        <v>68322</v>
      </c>
      <c r="C951" t="s">
        <v>1279</v>
      </c>
      <c r="D951" t="s">
        <v>1310</v>
      </c>
      <c r="E951" t="str">
        <f t="shared" si="28"/>
        <v>SANTANDER - GUAPOTÁ</v>
      </c>
      <c r="F951">
        <v>2087</v>
      </c>
      <c r="G951">
        <v>0.11</v>
      </c>
      <c r="H951">
        <v>6.7650000000000002E-2</v>
      </c>
      <c r="I951">
        <f t="shared" si="29"/>
        <v>1</v>
      </c>
    </row>
    <row r="952" spans="2:9" x14ac:dyDescent="0.25">
      <c r="B952">
        <v>68324</v>
      </c>
      <c r="C952" t="s">
        <v>1279</v>
      </c>
      <c r="D952" t="s">
        <v>1311</v>
      </c>
      <c r="E952" t="str">
        <f t="shared" si="28"/>
        <v>SANTANDER - GUAVATÁ</v>
      </c>
      <c r="F952">
        <v>3429</v>
      </c>
      <c r="G952">
        <v>0.5</v>
      </c>
      <c r="H952">
        <v>0.3075</v>
      </c>
      <c r="I952">
        <f t="shared" si="29"/>
        <v>1</v>
      </c>
    </row>
    <row r="953" spans="2:9" x14ac:dyDescent="0.25">
      <c r="B953">
        <v>68327</v>
      </c>
      <c r="C953" t="s">
        <v>1279</v>
      </c>
      <c r="D953" t="s">
        <v>1312</v>
      </c>
      <c r="E953" t="str">
        <f t="shared" si="28"/>
        <v>SANTANDER - GÜEPSA</v>
      </c>
      <c r="F953">
        <v>3689</v>
      </c>
      <c r="G953">
        <v>1.08</v>
      </c>
      <c r="H953">
        <v>0.66420000000000001</v>
      </c>
      <c r="I953">
        <f t="shared" si="29"/>
        <v>1</v>
      </c>
    </row>
    <row r="954" spans="2:9" x14ac:dyDescent="0.25">
      <c r="B954">
        <v>68344</v>
      </c>
      <c r="C954" t="s">
        <v>1279</v>
      </c>
      <c r="D954" t="s">
        <v>1313</v>
      </c>
      <c r="E954" t="str">
        <f t="shared" si="28"/>
        <v>SANTANDER - HATO</v>
      </c>
      <c r="F954">
        <v>2319</v>
      </c>
      <c r="G954">
        <v>0.31</v>
      </c>
      <c r="H954">
        <v>0.19064999999999999</v>
      </c>
      <c r="I954">
        <f t="shared" si="29"/>
        <v>1</v>
      </c>
    </row>
    <row r="955" spans="2:9" x14ac:dyDescent="0.25">
      <c r="B955">
        <v>68368</v>
      </c>
      <c r="C955" t="s">
        <v>1279</v>
      </c>
      <c r="D955" t="s">
        <v>1314</v>
      </c>
      <c r="E955" t="str">
        <f t="shared" si="28"/>
        <v>SANTANDER - JESÚS MARÍA</v>
      </c>
      <c r="F955">
        <v>3024</v>
      </c>
      <c r="G955">
        <v>0.45</v>
      </c>
      <c r="H955">
        <v>0.27675</v>
      </c>
      <c r="I955">
        <f t="shared" si="29"/>
        <v>1</v>
      </c>
    </row>
    <row r="956" spans="2:9" x14ac:dyDescent="0.25">
      <c r="B956">
        <v>68370</v>
      </c>
      <c r="C956" t="s">
        <v>1279</v>
      </c>
      <c r="D956" t="s">
        <v>1315</v>
      </c>
      <c r="E956" t="str">
        <f t="shared" si="28"/>
        <v>SANTANDER - JORDÁN</v>
      </c>
      <c r="F956">
        <v>1084</v>
      </c>
      <c r="G956">
        <v>0.08</v>
      </c>
      <c r="H956">
        <v>4.9200000000000001E-2</v>
      </c>
      <c r="I956">
        <f t="shared" si="29"/>
        <v>1</v>
      </c>
    </row>
    <row r="957" spans="2:9" x14ac:dyDescent="0.25">
      <c r="B957">
        <v>68377</v>
      </c>
      <c r="C957" t="s">
        <v>1279</v>
      </c>
      <c r="D957" t="s">
        <v>1316</v>
      </c>
      <c r="E957" t="str">
        <f t="shared" si="28"/>
        <v>SANTANDER - LA BELLEZA</v>
      </c>
      <c r="F957">
        <v>8596</v>
      </c>
      <c r="G957">
        <v>0.53</v>
      </c>
      <c r="H957">
        <v>0.32595000000000002</v>
      </c>
      <c r="I957">
        <f t="shared" si="29"/>
        <v>1</v>
      </c>
    </row>
    <row r="958" spans="2:9" x14ac:dyDescent="0.25">
      <c r="B958">
        <v>68385</v>
      </c>
      <c r="C958" t="s">
        <v>1279</v>
      </c>
      <c r="D958" t="s">
        <v>1317</v>
      </c>
      <c r="E958" t="str">
        <f t="shared" si="28"/>
        <v>SANTANDER - LANDÁZURI</v>
      </c>
      <c r="F958">
        <v>15456</v>
      </c>
      <c r="G958">
        <v>1.69</v>
      </c>
      <c r="H958">
        <v>1.03935</v>
      </c>
      <c r="I958">
        <f t="shared" si="29"/>
        <v>1</v>
      </c>
    </row>
    <row r="959" spans="2:9" x14ac:dyDescent="0.25">
      <c r="B959">
        <v>68397</v>
      </c>
      <c r="C959" t="s">
        <v>1279</v>
      </c>
      <c r="D959" t="s">
        <v>863</v>
      </c>
      <c r="E959" t="str">
        <f t="shared" si="28"/>
        <v>SANTANDER - LA PAZ</v>
      </c>
      <c r="F959">
        <v>4980</v>
      </c>
      <c r="G959">
        <v>0.37</v>
      </c>
      <c r="H959">
        <v>0.22755</v>
      </c>
      <c r="I959">
        <f t="shared" si="29"/>
        <v>1</v>
      </c>
    </row>
    <row r="960" spans="2:9" x14ac:dyDescent="0.25">
      <c r="B960">
        <v>68406</v>
      </c>
      <c r="C960" t="s">
        <v>1279</v>
      </c>
      <c r="D960" t="s">
        <v>1318</v>
      </c>
      <c r="E960" t="str">
        <f t="shared" si="28"/>
        <v>SANTANDER - LEBRIJA</v>
      </c>
      <c r="F960">
        <v>42000</v>
      </c>
      <c r="G960">
        <v>17.27</v>
      </c>
      <c r="H960">
        <v>10.62105</v>
      </c>
      <c r="I960">
        <f t="shared" si="29"/>
        <v>2</v>
      </c>
    </row>
    <row r="961" spans="2:9" x14ac:dyDescent="0.25">
      <c r="B961">
        <v>68418</v>
      </c>
      <c r="C961" t="s">
        <v>1279</v>
      </c>
      <c r="D961" t="s">
        <v>1319</v>
      </c>
      <c r="E961" t="str">
        <f t="shared" si="28"/>
        <v>SANTANDER - LOS SANTOS</v>
      </c>
      <c r="F961">
        <v>12648</v>
      </c>
      <c r="G961">
        <v>5.24</v>
      </c>
      <c r="H961">
        <v>3.2225999999999999</v>
      </c>
      <c r="I961">
        <f t="shared" si="29"/>
        <v>1</v>
      </c>
    </row>
    <row r="962" spans="2:9" x14ac:dyDescent="0.25">
      <c r="B962">
        <v>68425</v>
      </c>
      <c r="C962" t="s">
        <v>1279</v>
      </c>
      <c r="D962" t="s">
        <v>1320</v>
      </c>
      <c r="E962" t="str">
        <f t="shared" si="28"/>
        <v>SANTANDER - MACARAVITA</v>
      </c>
      <c r="F962">
        <v>2233</v>
      </c>
      <c r="G962">
        <v>0.17</v>
      </c>
      <c r="H962">
        <v>0.10455</v>
      </c>
      <c r="I962">
        <f t="shared" si="29"/>
        <v>1</v>
      </c>
    </row>
    <row r="963" spans="2:9" x14ac:dyDescent="0.25">
      <c r="B963">
        <v>68432</v>
      </c>
      <c r="C963" t="s">
        <v>1279</v>
      </c>
      <c r="D963" t="s">
        <v>1321</v>
      </c>
      <c r="E963" t="str">
        <f t="shared" si="28"/>
        <v>SANTANDER - MÁLAGA</v>
      </c>
      <c r="F963">
        <v>18230</v>
      </c>
      <c r="G963">
        <v>9.74</v>
      </c>
      <c r="H963">
        <v>5.9901</v>
      </c>
      <c r="I963">
        <f t="shared" si="29"/>
        <v>1</v>
      </c>
    </row>
    <row r="964" spans="2:9" x14ac:dyDescent="0.25">
      <c r="B964">
        <v>68444</v>
      </c>
      <c r="C964" t="s">
        <v>1279</v>
      </c>
      <c r="D964" t="s">
        <v>1322</v>
      </c>
      <c r="E964" t="str">
        <f t="shared" ref="E964:E1027" si="30">C964&amp;" - "&amp;D964</f>
        <v>SANTANDER - MATANZA</v>
      </c>
      <c r="F964">
        <v>5096</v>
      </c>
      <c r="G964">
        <v>0.43</v>
      </c>
      <c r="H964">
        <v>0.26445000000000002</v>
      </c>
      <c r="I964">
        <f t="shared" ref="I964:I1027" si="31">IF(H964&lt;$P$3,$O$3,IF(H964&lt;$P$4,$O$4,IF(H964&lt;$P$5,$O$5,$O$6)))</f>
        <v>1</v>
      </c>
    </row>
    <row r="965" spans="2:9" x14ac:dyDescent="0.25">
      <c r="B965">
        <v>68464</v>
      </c>
      <c r="C965" t="s">
        <v>1279</v>
      </c>
      <c r="D965" t="s">
        <v>1323</v>
      </c>
      <c r="E965" t="str">
        <f t="shared" si="30"/>
        <v>SANTANDER - MOGOTES</v>
      </c>
      <c r="F965">
        <v>10860</v>
      </c>
      <c r="G965">
        <v>2.9</v>
      </c>
      <c r="H965">
        <v>1.7834999999999999</v>
      </c>
      <c r="I965">
        <f t="shared" si="31"/>
        <v>1</v>
      </c>
    </row>
    <row r="966" spans="2:9" x14ac:dyDescent="0.25">
      <c r="B966">
        <v>68468</v>
      </c>
      <c r="C966" t="s">
        <v>1279</v>
      </c>
      <c r="D966" t="s">
        <v>1324</v>
      </c>
      <c r="E966" t="str">
        <f t="shared" si="30"/>
        <v>SANTANDER - MOLAGAVITA</v>
      </c>
      <c r="F966">
        <v>4980</v>
      </c>
      <c r="G966">
        <v>0.17</v>
      </c>
      <c r="H966">
        <v>0.10455</v>
      </c>
      <c r="I966">
        <f t="shared" si="31"/>
        <v>1</v>
      </c>
    </row>
    <row r="967" spans="2:9" x14ac:dyDescent="0.25">
      <c r="B967">
        <v>68498</v>
      </c>
      <c r="C967" t="s">
        <v>1279</v>
      </c>
      <c r="D967" t="s">
        <v>1325</v>
      </c>
      <c r="E967" t="str">
        <f t="shared" si="30"/>
        <v>SANTANDER - OCAMONTE</v>
      </c>
      <c r="F967">
        <v>4679</v>
      </c>
      <c r="G967">
        <v>0.68</v>
      </c>
      <c r="H967">
        <v>0.41820000000000002</v>
      </c>
      <c r="I967">
        <f t="shared" si="31"/>
        <v>1</v>
      </c>
    </row>
    <row r="968" spans="2:9" x14ac:dyDescent="0.25">
      <c r="B968">
        <v>68500</v>
      </c>
      <c r="C968" t="s">
        <v>1279</v>
      </c>
      <c r="D968" t="s">
        <v>1326</v>
      </c>
      <c r="E968" t="str">
        <f t="shared" si="30"/>
        <v>SANTANDER - OIBA</v>
      </c>
      <c r="F968">
        <v>12063</v>
      </c>
      <c r="G968">
        <v>5.22</v>
      </c>
      <c r="H968">
        <v>3.2102999999999997</v>
      </c>
      <c r="I968">
        <f t="shared" si="31"/>
        <v>1</v>
      </c>
    </row>
    <row r="969" spans="2:9" x14ac:dyDescent="0.25">
      <c r="B969">
        <v>68502</v>
      </c>
      <c r="C969" t="s">
        <v>1279</v>
      </c>
      <c r="D969" t="s">
        <v>1327</v>
      </c>
      <c r="E969" t="str">
        <f t="shared" si="30"/>
        <v>SANTANDER - ONZAGA</v>
      </c>
      <c r="F969">
        <v>4849</v>
      </c>
      <c r="G969">
        <v>0.32</v>
      </c>
      <c r="H969">
        <v>0.1968</v>
      </c>
      <c r="I969">
        <f t="shared" si="31"/>
        <v>1</v>
      </c>
    </row>
    <row r="970" spans="2:9" x14ac:dyDescent="0.25">
      <c r="B970">
        <v>68522</v>
      </c>
      <c r="C970" t="s">
        <v>1279</v>
      </c>
      <c r="D970" t="s">
        <v>1328</v>
      </c>
      <c r="E970" t="str">
        <f t="shared" si="30"/>
        <v>SANTANDER - PALMAR</v>
      </c>
      <c r="F970">
        <v>3521</v>
      </c>
      <c r="G970">
        <v>0.19</v>
      </c>
      <c r="H970">
        <v>0.11685</v>
      </c>
      <c r="I970">
        <f t="shared" si="31"/>
        <v>1</v>
      </c>
    </row>
    <row r="971" spans="2:9" x14ac:dyDescent="0.25">
      <c r="B971">
        <v>68524</v>
      </c>
      <c r="C971" t="s">
        <v>1279</v>
      </c>
      <c r="D971" t="s">
        <v>1329</v>
      </c>
      <c r="E971" t="str">
        <f t="shared" si="30"/>
        <v>SANTANDER - PALMAS DEL SOCORRO</v>
      </c>
      <c r="F971">
        <v>2175</v>
      </c>
      <c r="G971">
        <v>0.68</v>
      </c>
      <c r="H971">
        <v>0.41820000000000002</v>
      </c>
      <c r="I971">
        <f t="shared" si="31"/>
        <v>1</v>
      </c>
    </row>
    <row r="972" spans="2:9" x14ac:dyDescent="0.25">
      <c r="B972">
        <v>68533</v>
      </c>
      <c r="C972" t="s">
        <v>1279</v>
      </c>
      <c r="D972" t="s">
        <v>1330</v>
      </c>
      <c r="E972" t="str">
        <f t="shared" si="30"/>
        <v>SANTANDER - PÁRAMO</v>
      </c>
      <c r="F972">
        <v>4294</v>
      </c>
      <c r="G972">
        <v>1.44</v>
      </c>
      <c r="H972">
        <v>0.88559999999999994</v>
      </c>
      <c r="I972">
        <f t="shared" si="31"/>
        <v>1</v>
      </c>
    </row>
    <row r="973" spans="2:9" x14ac:dyDescent="0.25">
      <c r="B973">
        <v>68547</v>
      </c>
      <c r="C973" t="s">
        <v>1279</v>
      </c>
      <c r="D973" t="s">
        <v>1331</v>
      </c>
      <c r="E973" t="str">
        <f t="shared" si="30"/>
        <v>SANTANDER - PIEDECUESTA</v>
      </c>
      <c r="F973">
        <v>163362</v>
      </c>
      <c r="G973">
        <v>94.9</v>
      </c>
      <c r="H973">
        <v>58.363500000000002</v>
      </c>
      <c r="I973">
        <f t="shared" si="31"/>
        <v>3</v>
      </c>
    </row>
    <row r="974" spans="2:9" x14ac:dyDescent="0.25">
      <c r="B974">
        <v>68549</v>
      </c>
      <c r="C974" t="s">
        <v>1279</v>
      </c>
      <c r="D974" t="s">
        <v>1332</v>
      </c>
      <c r="E974" t="str">
        <f t="shared" si="30"/>
        <v>SANTANDER - PINCHOTE</v>
      </c>
      <c r="F974">
        <v>5545</v>
      </c>
      <c r="G974">
        <v>1.23</v>
      </c>
      <c r="H974">
        <v>0.75644999999999996</v>
      </c>
      <c r="I974">
        <f t="shared" si="31"/>
        <v>1</v>
      </c>
    </row>
    <row r="975" spans="2:9" x14ac:dyDescent="0.25">
      <c r="B975">
        <v>68572</v>
      </c>
      <c r="C975" t="s">
        <v>1279</v>
      </c>
      <c r="D975" t="s">
        <v>1333</v>
      </c>
      <c r="E975" t="str">
        <f t="shared" si="30"/>
        <v>SANTANDER - PUENTE NACIONAL</v>
      </c>
      <c r="F975">
        <v>11718</v>
      </c>
      <c r="G975">
        <v>2.65</v>
      </c>
      <c r="H975">
        <v>1.62975</v>
      </c>
      <c r="I975">
        <f t="shared" si="31"/>
        <v>1</v>
      </c>
    </row>
    <row r="976" spans="2:9" x14ac:dyDescent="0.25">
      <c r="B976">
        <v>68573</v>
      </c>
      <c r="C976" t="s">
        <v>1279</v>
      </c>
      <c r="D976" t="s">
        <v>1334</v>
      </c>
      <c r="E976" t="str">
        <f t="shared" si="30"/>
        <v>SANTANDER - PUERTO PARRA</v>
      </c>
      <c r="F976">
        <v>8011</v>
      </c>
      <c r="G976">
        <v>1.52</v>
      </c>
      <c r="H976">
        <v>0.93479999999999996</v>
      </c>
      <c r="I976">
        <f t="shared" si="31"/>
        <v>1</v>
      </c>
    </row>
    <row r="977" spans="2:9" x14ac:dyDescent="0.25">
      <c r="B977">
        <v>68575</v>
      </c>
      <c r="C977" t="s">
        <v>1279</v>
      </c>
      <c r="D977" t="s">
        <v>1335</v>
      </c>
      <c r="E977" t="str">
        <f t="shared" si="30"/>
        <v>SANTANDER - PUERTO WILCHES</v>
      </c>
      <c r="F977">
        <v>31509</v>
      </c>
      <c r="G977">
        <v>23.26</v>
      </c>
      <c r="H977">
        <v>14.3049</v>
      </c>
      <c r="I977">
        <f t="shared" si="31"/>
        <v>2</v>
      </c>
    </row>
    <row r="978" spans="2:9" x14ac:dyDescent="0.25">
      <c r="B978">
        <v>68615</v>
      </c>
      <c r="C978" t="s">
        <v>1279</v>
      </c>
      <c r="D978" t="s">
        <v>502</v>
      </c>
      <c r="E978" t="str">
        <f t="shared" si="30"/>
        <v>SANTANDER - RIONEGRO</v>
      </c>
      <c r="F978">
        <v>26243</v>
      </c>
      <c r="G978">
        <v>6.3</v>
      </c>
      <c r="H978">
        <v>3.8744999999999998</v>
      </c>
      <c r="I978">
        <f t="shared" si="31"/>
        <v>1</v>
      </c>
    </row>
    <row r="979" spans="2:9" x14ac:dyDescent="0.25">
      <c r="B979">
        <v>68655</v>
      </c>
      <c r="C979" t="s">
        <v>1279</v>
      </c>
      <c r="D979" t="s">
        <v>1336</v>
      </c>
      <c r="E979" t="str">
        <f t="shared" si="30"/>
        <v>SANTANDER - SABANA DE TORRES</v>
      </c>
      <c r="F979">
        <v>17965</v>
      </c>
      <c r="G979">
        <v>6.8</v>
      </c>
      <c r="H979">
        <v>4.1819999999999995</v>
      </c>
      <c r="I979">
        <f t="shared" si="31"/>
        <v>1</v>
      </c>
    </row>
    <row r="980" spans="2:9" x14ac:dyDescent="0.25">
      <c r="B980">
        <v>68669</v>
      </c>
      <c r="C980" t="s">
        <v>1279</v>
      </c>
      <c r="D980" t="s">
        <v>551</v>
      </c>
      <c r="E980" t="str">
        <f t="shared" si="30"/>
        <v>SANTANDER - SAN ANDRÉS</v>
      </c>
      <c r="F980">
        <v>8094</v>
      </c>
      <c r="G980">
        <v>1.04</v>
      </c>
      <c r="H980">
        <v>0.63960000000000006</v>
      </c>
      <c r="I980">
        <f t="shared" si="31"/>
        <v>1</v>
      </c>
    </row>
    <row r="981" spans="2:9" x14ac:dyDescent="0.25">
      <c r="B981">
        <v>68673</v>
      </c>
      <c r="C981" t="s">
        <v>1279</v>
      </c>
      <c r="D981" t="s">
        <v>1337</v>
      </c>
      <c r="E981" t="str">
        <f t="shared" si="30"/>
        <v>SANTANDER - SAN BENITO</v>
      </c>
      <c r="F981">
        <v>4030</v>
      </c>
      <c r="G981">
        <v>0.11</v>
      </c>
      <c r="H981">
        <v>6.7650000000000002E-2</v>
      </c>
      <c r="I981">
        <f t="shared" si="31"/>
        <v>1</v>
      </c>
    </row>
    <row r="982" spans="2:9" x14ac:dyDescent="0.25">
      <c r="B982">
        <v>68679</v>
      </c>
      <c r="C982" t="s">
        <v>1279</v>
      </c>
      <c r="D982" t="s">
        <v>1338</v>
      </c>
      <c r="E982" t="str">
        <f t="shared" si="30"/>
        <v>SANTANDER - SAN GIL</v>
      </c>
      <c r="F982">
        <v>46016</v>
      </c>
      <c r="G982">
        <v>47.06</v>
      </c>
      <c r="H982">
        <v>28.9419</v>
      </c>
      <c r="I982">
        <f t="shared" si="31"/>
        <v>2</v>
      </c>
    </row>
    <row r="983" spans="2:9" x14ac:dyDescent="0.25">
      <c r="B983">
        <v>68682</v>
      </c>
      <c r="C983" t="s">
        <v>1279</v>
      </c>
      <c r="D983" t="s">
        <v>1339</v>
      </c>
      <c r="E983" t="str">
        <f t="shared" si="30"/>
        <v>SANTANDER - SAN JOAQUÍN</v>
      </c>
      <c r="F983">
        <v>2332</v>
      </c>
      <c r="G983">
        <v>0.35</v>
      </c>
      <c r="H983">
        <v>0.21525</v>
      </c>
      <c r="I983">
        <f t="shared" si="31"/>
        <v>1</v>
      </c>
    </row>
    <row r="984" spans="2:9" x14ac:dyDescent="0.25">
      <c r="B984">
        <v>68684</v>
      </c>
      <c r="C984" t="s">
        <v>1279</v>
      </c>
      <c r="D984" t="s">
        <v>1340</v>
      </c>
      <c r="E984" t="str">
        <f t="shared" si="30"/>
        <v>SANTANDER - SAN JOSÉ DE MIRANDA</v>
      </c>
      <c r="F984">
        <v>4173</v>
      </c>
      <c r="G984">
        <v>0.57999999999999996</v>
      </c>
      <c r="H984">
        <v>0.35669999999999996</v>
      </c>
      <c r="I984">
        <f t="shared" si="31"/>
        <v>1</v>
      </c>
    </row>
    <row r="985" spans="2:9" x14ac:dyDescent="0.25">
      <c r="B985">
        <v>68686</v>
      </c>
      <c r="C985" t="s">
        <v>1279</v>
      </c>
      <c r="D985" t="s">
        <v>1253</v>
      </c>
      <c r="E985" t="str">
        <f t="shared" si="30"/>
        <v>SANTANDER - SAN MIGUEL</v>
      </c>
      <c r="F985">
        <v>2252</v>
      </c>
      <c r="G985">
        <v>0.16</v>
      </c>
      <c r="H985">
        <v>9.8400000000000001E-2</v>
      </c>
      <c r="I985">
        <f t="shared" si="31"/>
        <v>1</v>
      </c>
    </row>
    <row r="986" spans="2:9" x14ac:dyDescent="0.25">
      <c r="B986">
        <v>68689</v>
      </c>
      <c r="C986" t="s">
        <v>1279</v>
      </c>
      <c r="D986" t="s">
        <v>1341</v>
      </c>
      <c r="E986" t="str">
        <f t="shared" si="30"/>
        <v>SANTANDER - SAN VICENTE DE CHUCURÍ</v>
      </c>
      <c r="F986">
        <v>35121</v>
      </c>
      <c r="G986">
        <v>4.13</v>
      </c>
      <c r="H986">
        <v>2.5399499999999997</v>
      </c>
      <c r="I986">
        <f t="shared" si="31"/>
        <v>1</v>
      </c>
    </row>
    <row r="987" spans="2:9" x14ac:dyDescent="0.25">
      <c r="B987">
        <v>68705</v>
      </c>
      <c r="C987" t="s">
        <v>1279</v>
      </c>
      <c r="D987" t="s">
        <v>518</v>
      </c>
      <c r="E987" t="str">
        <f t="shared" si="30"/>
        <v>SANTANDER - SANTA BÁRBARA</v>
      </c>
      <c r="F987">
        <v>2070</v>
      </c>
      <c r="G987">
        <v>0.12</v>
      </c>
      <c r="H987">
        <v>7.3799999999999991E-2</v>
      </c>
      <c r="I987">
        <f t="shared" si="31"/>
        <v>1</v>
      </c>
    </row>
    <row r="988" spans="2:9" x14ac:dyDescent="0.25">
      <c r="B988">
        <v>68720</v>
      </c>
      <c r="C988" t="s">
        <v>1279</v>
      </c>
      <c r="D988" t="s">
        <v>1342</v>
      </c>
      <c r="E988" t="str">
        <f t="shared" si="30"/>
        <v>SANTANDER - SANTA HELENA DEL OPÓN</v>
      </c>
      <c r="F988">
        <v>4247</v>
      </c>
      <c r="G988">
        <v>0.13</v>
      </c>
      <c r="H988">
        <v>7.9950000000000007E-2</v>
      </c>
      <c r="I988">
        <f t="shared" si="31"/>
        <v>1</v>
      </c>
    </row>
    <row r="989" spans="2:9" x14ac:dyDescent="0.25">
      <c r="B989">
        <v>68745</v>
      </c>
      <c r="C989" t="s">
        <v>1279</v>
      </c>
      <c r="D989" t="s">
        <v>1343</v>
      </c>
      <c r="E989" t="str">
        <f t="shared" si="30"/>
        <v>SANTANDER - SIMACOTA</v>
      </c>
      <c r="F989">
        <v>7393</v>
      </c>
      <c r="G989">
        <v>0.39</v>
      </c>
      <c r="H989">
        <v>0.23985000000000001</v>
      </c>
      <c r="I989">
        <f t="shared" si="31"/>
        <v>1</v>
      </c>
    </row>
    <row r="990" spans="2:9" x14ac:dyDescent="0.25">
      <c r="B990">
        <v>68755</v>
      </c>
      <c r="C990" t="s">
        <v>1279</v>
      </c>
      <c r="D990" t="s">
        <v>1344</v>
      </c>
      <c r="E990" t="str">
        <f t="shared" si="30"/>
        <v>SANTANDER - SOCORRO</v>
      </c>
      <c r="F990">
        <v>31115</v>
      </c>
      <c r="G990">
        <v>30.02</v>
      </c>
      <c r="H990">
        <v>18.462299999999999</v>
      </c>
      <c r="I990">
        <f t="shared" si="31"/>
        <v>2</v>
      </c>
    </row>
    <row r="991" spans="2:9" x14ac:dyDescent="0.25">
      <c r="B991">
        <v>68770</v>
      </c>
      <c r="C991" t="s">
        <v>1279</v>
      </c>
      <c r="D991" t="s">
        <v>1345</v>
      </c>
      <c r="E991" t="str">
        <f t="shared" si="30"/>
        <v>SANTANDER - SUAITA</v>
      </c>
      <c r="F991">
        <v>10006</v>
      </c>
      <c r="G991">
        <v>1.17</v>
      </c>
      <c r="H991">
        <v>0.71954999999999991</v>
      </c>
      <c r="I991">
        <f t="shared" si="31"/>
        <v>1</v>
      </c>
    </row>
    <row r="992" spans="2:9" x14ac:dyDescent="0.25">
      <c r="B992">
        <v>68773</v>
      </c>
      <c r="C992" t="s">
        <v>1279</v>
      </c>
      <c r="D992" t="s">
        <v>836</v>
      </c>
      <c r="E992" t="str">
        <f t="shared" si="30"/>
        <v>SANTANDER - SUCRE</v>
      </c>
      <c r="F992">
        <v>8098</v>
      </c>
      <c r="G992">
        <v>0.72</v>
      </c>
      <c r="H992">
        <v>0.44279999999999997</v>
      </c>
      <c r="I992">
        <f t="shared" si="31"/>
        <v>1</v>
      </c>
    </row>
    <row r="993" spans="2:9" x14ac:dyDescent="0.25">
      <c r="B993">
        <v>68780</v>
      </c>
      <c r="C993" t="s">
        <v>1279</v>
      </c>
      <c r="D993" t="s">
        <v>1346</v>
      </c>
      <c r="E993" t="str">
        <f t="shared" si="30"/>
        <v>SANTANDER - SURATÁ</v>
      </c>
      <c r="F993">
        <v>3166</v>
      </c>
      <c r="G993">
        <v>0.28999999999999998</v>
      </c>
      <c r="H993">
        <v>0.17834999999999998</v>
      </c>
      <c r="I993">
        <f t="shared" si="31"/>
        <v>1</v>
      </c>
    </row>
    <row r="994" spans="2:9" x14ac:dyDescent="0.25">
      <c r="B994">
        <v>68820</v>
      </c>
      <c r="C994" t="s">
        <v>1279</v>
      </c>
      <c r="D994" t="s">
        <v>1347</v>
      </c>
      <c r="E994" t="str">
        <f t="shared" si="30"/>
        <v>SANTANDER - TONA</v>
      </c>
      <c r="F994">
        <v>7239</v>
      </c>
      <c r="G994">
        <v>1.35</v>
      </c>
      <c r="H994">
        <v>0.83025000000000004</v>
      </c>
      <c r="I994">
        <f t="shared" si="31"/>
        <v>1</v>
      </c>
    </row>
    <row r="995" spans="2:9" x14ac:dyDescent="0.25">
      <c r="B995">
        <v>68855</v>
      </c>
      <c r="C995" t="s">
        <v>1279</v>
      </c>
      <c r="D995" t="s">
        <v>1348</v>
      </c>
      <c r="E995" t="str">
        <f t="shared" si="30"/>
        <v>SANTANDER - VALLE DE SAN JOSÉ</v>
      </c>
      <c r="F995">
        <v>4445</v>
      </c>
      <c r="G995">
        <v>0.6</v>
      </c>
      <c r="H995">
        <v>0.36899999999999999</v>
      </c>
      <c r="I995">
        <f t="shared" si="31"/>
        <v>1</v>
      </c>
    </row>
    <row r="996" spans="2:9" x14ac:dyDescent="0.25">
      <c r="B996">
        <v>68861</v>
      </c>
      <c r="C996" t="s">
        <v>1279</v>
      </c>
      <c r="D996" t="s">
        <v>1349</v>
      </c>
      <c r="E996" t="str">
        <f t="shared" si="30"/>
        <v>SANTANDER - VÉLEZ</v>
      </c>
      <c r="F996">
        <v>18808</v>
      </c>
      <c r="G996">
        <v>6.54</v>
      </c>
      <c r="H996">
        <v>4.0221</v>
      </c>
      <c r="I996">
        <f t="shared" si="31"/>
        <v>1</v>
      </c>
    </row>
    <row r="997" spans="2:9" x14ac:dyDescent="0.25">
      <c r="B997">
        <v>68867</v>
      </c>
      <c r="C997" t="s">
        <v>1279</v>
      </c>
      <c r="D997" t="s">
        <v>1350</v>
      </c>
      <c r="E997" t="str">
        <f t="shared" si="30"/>
        <v>SANTANDER - VETAS</v>
      </c>
      <c r="F997">
        <v>2475</v>
      </c>
      <c r="G997">
        <v>0.49</v>
      </c>
      <c r="H997">
        <v>0.30135000000000001</v>
      </c>
      <c r="I997">
        <f t="shared" si="31"/>
        <v>1</v>
      </c>
    </row>
    <row r="998" spans="2:9" x14ac:dyDescent="0.25">
      <c r="B998">
        <v>68872</v>
      </c>
      <c r="C998" t="s">
        <v>1279</v>
      </c>
      <c r="D998" t="s">
        <v>622</v>
      </c>
      <c r="E998" t="str">
        <f t="shared" si="30"/>
        <v>SANTANDER - VILLANUEVA</v>
      </c>
      <c r="F998">
        <v>5443</v>
      </c>
      <c r="G998">
        <v>1.77</v>
      </c>
      <c r="H998">
        <v>1.0885499999999999</v>
      </c>
      <c r="I998">
        <f t="shared" si="31"/>
        <v>1</v>
      </c>
    </row>
    <row r="999" spans="2:9" x14ac:dyDescent="0.25">
      <c r="B999">
        <v>68895</v>
      </c>
      <c r="C999" t="s">
        <v>1279</v>
      </c>
      <c r="D999" t="s">
        <v>1351</v>
      </c>
      <c r="E999" t="str">
        <f t="shared" si="30"/>
        <v>SANTANDER - ZAPATOCA</v>
      </c>
      <c r="F999">
        <v>8762</v>
      </c>
      <c r="G999">
        <v>4.13</v>
      </c>
      <c r="H999">
        <v>2.5399499999999997</v>
      </c>
      <c r="I999">
        <f t="shared" si="31"/>
        <v>1</v>
      </c>
    </row>
    <row r="1000" spans="2:9" x14ac:dyDescent="0.25">
      <c r="B1000">
        <v>70001</v>
      </c>
      <c r="C1000" t="s">
        <v>836</v>
      </c>
      <c r="D1000" t="s">
        <v>1352</v>
      </c>
      <c r="E1000" t="str">
        <f t="shared" si="30"/>
        <v>SUCRE - SINCELEJO</v>
      </c>
      <c r="F1000">
        <v>290667</v>
      </c>
      <c r="G1000">
        <v>201.35</v>
      </c>
      <c r="H1000">
        <v>123.83024999999999</v>
      </c>
      <c r="I1000">
        <f t="shared" si="31"/>
        <v>3</v>
      </c>
    </row>
    <row r="1001" spans="2:9" x14ac:dyDescent="0.25">
      <c r="B1001">
        <v>70110</v>
      </c>
      <c r="C1001" t="s">
        <v>836</v>
      </c>
      <c r="D1001" t="s">
        <v>633</v>
      </c>
      <c r="E1001" t="str">
        <f t="shared" si="30"/>
        <v>SUCRE - BUENAVISTA</v>
      </c>
      <c r="F1001">
        <v>9808</v>
      </c>
      <c r="G1001">
        <v>1.55</v>
      </c>
      <c r="H1001">
        <v>0.95325000000000004</v>
      </c>
      <c r="I1001">
        <f t="shared" si="31"/>
        <v>1</v>
      </c>
    </row>
    <row r="1002" spans="2:9" x14ac:dyDescent="0.25">
      <c r="B1002">
        <v>70124</v>
      </c>
      <c r="C1002" t="s">
        <v>836</v>
      </c>
      <c r="D1002" t="s">
        <v>1353</v>
      </c>
      <c r="E1002" t="str">
        <f t="shared" si="30"/>
        <v>SUCRE - CAIMITO</v>
      </c>
      <c r="F1002">
        <v>12542</v>
      </c>
      <c r="G1002">
        <v>0.6</v>
      </c>
      <c r="H1002">
        <v>0.36899999999999999</v>
      </c>
      <c r="I1002">
        <f t="shared" si="31"/>
        <v>1</v>
      </c>
    </row>
    <row r="1003" spans="2:9" x14ac:dyDescent="0.25">
      <c r="B1003">
        <v>70204</v>
      </c>
      <c r="C1003" t="s">
        <v>836</v>
      </c>
      <c r="D1003" t="s">
        <v>1354</v>
      </c>
      <c r="E1003" t="str">
        <f t="shared" si="30"/>
        <v>SUCRE - COLOSÓ</v>
      </c>
      <c r="F1003">
        <v>5696</v>
      </c>
      <c r="G1003">
        <v>1.45</v>
      </c>
      <c r="H1003">
        <v>0.89174999999999993</v>
      </c>
      <c r="I1003">
        <f t="shared" si="31"/>
        <v>1</v>
      </c>
    </row>
    <row r="1004" spans="2:9" x14ac:dyDescent="0.25">
      <c r="B1004">
        <v>70215</v>
      </c>
      <c r="C1004" t="s">
        <v>836</v>
      </c>
      <c r="D1004" t="s">
        <v>1355</v>
      </c>
      <c r="E1004" t="str">
        <f t="shared" si="30"/>
        <v>SUCRE - COROZAL</v>
      </c>
      <c r="F1004">
        <v>64073</v>
      </c>
      <c r="G1004">
        <v>46.16</v>
      </c>
      <c r="H1004">
        <v>28.388399999999997</v>
      </c>
      <c r="I1004">
        <f t="shared" si="31"/>
        <v>2</v>
      </c>
    </row>
    <row r="1005" spans="2:9" x14ac:dyDescent="0.25">
      <c r="B1005">
        <v>70221</v>
      </c>
      <c r="C1005" t="s">
        <v>836</v>
      </c>
      <c r="D1005" t="s">
        <v>1356</v>
      </c>
      <c r="E1005" t="str">
        <f t="shared" si="30"/>
        <v>SUCRE - COVEÑAS</v>
      </c>
      <c r="F1005">
        <v>14553</v>
      </c>
      <c r="G1005">
        <v>16.559999999999999</v>
      </c>
      <c r="H1005">
        <v>10.184399999999998</v>
      </c>
      <c r="I1005">
        <f t="shared" si="31"/>
        <v>2</v>
      </c>
    </row>
    <row r="1006" spans="2:9" x14ac:dyDescent="0.25">
      <c r="B1006">
        <v>70230</v>
      </c>
      <c r="C1006" t="s">
        <v>836</v>
      </c>
      <c r="D1006" t="s">
        <v>1357</v>
      </c>
      <c r="E1006" t="str">
        <f t="shared" si="30"/>
        <v>SUCRE - CHALÁN</v>
      </c>
      <c r="F1006">
        <v>4416</v>
      </c>
      <c r="G1006">
        <v>1.19</v>
      </c>
      <c r="H1006">
        <v>0.73185</v>
      </c>
      <c r="I1006">
        <f t="shared" si="31"/>
        <v>1</v>
      </c>
    </row>
    <row r="1007" spans="2:9" x14ac:dyDescent="0.25">
      <c r="B1007">
        <v>70233</v>
      </c>
      <c r="C1007" t="s">
        <v>836</v>
      </c>
      <c r="D1007" t="s">
        <v>1358</v>
      </c>
      <c r="E1007" t="str">
        <f t="shared" si="30"/>
        <v>SUCRE - EL ROBLE</v>
      </c>
      <c r="F1007">
        <v>11044</v>
      </c>
      <c r="G1007">
        <v>1.2</v>
      </c>
      <c r="H1007">
        <v>0.73799999999999999</v>
      </c>
      <c r="I1007">
        <f t="shared" si="31"/>
        <v>1</v>
      </c>
    </row>
    <row r="1008" spans="2:9" x14ac:dyDescent="0.25">
      <c r="B1008">
        <v>70235</v>
      </c>
      <c r="C1008" t="s">
        <v>836</v>
      </c>
      <c r="D1008" t="s">
        <v>1359</v>
      </c>
      <c r="E1008" t="str">
        <f t="shared" si="30"/>
        <v>SUCRE - GALERAS</v>
      </c>
      <c r="F1008">
        <v>21548</v>
      </c>
      <c r="G1008">
        <v>5.83</v>
      </c>
      <c r="H1008">
        <v>3.5854499999999998</v>
      </c>
      <c r="I1008">
        <f t="shared" si="31"/>
        <v>1</v>
      </c>
    </row>
    <row r="1009" spans="2:9" x14ac:dyDescent="0.25">
      <c r="B1009">
        <v>70265</v>
      </c>
      <c r="C1009" t="s">
        <v>836</v>
      </c>
      <c r="D1009" t="s">
        <v>1360</v>
      </c>
      <c r="E1009" t="str">
        <f t="shared" si="30"/>
        <v>SUCRE - GUARANDA</v>
      </c>
      <c r="F1009">
        <v>18365</v>
      </c>
      <c r="G1009">
        <v>4.0999999999999996</v>
      </c>
      <c r="H1009">
        <v>2.5214999999999996</v>
      </c>
      <c r="I1009">
        <f t="shared" si="31"/>
        <v>1</v>
      </c>
    </row>
    <row r="1010" spans="2:9" x14ac:dyDescent="0.25">
      <c r="B1010">
        <v>70400</v>
      </c>
      <c r="C1010" t="s">
        <v>836</v>
      </c>
      <c r="D1010" t="s">
        <v>483</v>
      </c>
      <c r="E1010" t="str">
        <f t="shared" si="30"/>
        <v>SUCRE - LA UNIÓN</v>
      </c>
      <c r="F1010">
        <v>11566</v>
      </c>
      <c r="G1010">
        <v>4.05</v>
      </c>
      <c r="H1010">
        <v>2.4907499999999998</v>
      </c>
      <c r="I1010">
        <f t="shared" si="31"/>
        <v>1</v>
      </c>
    </row>
    <row r="1011" spans="2:9" x14ac:dyDescent="0.25">
      <c r="B1011">
        <v>70418</v>
      </c>
      <c r="C1011" t="s">
        <v>836</v>
      </c>
      <c r="D1011" t="s">
        <v>1361</v>
      </c>
      <c r="E1011" t="str">
        <f t="shared" si="30"/>
        <v>SUCRE - LOS PALMITOS</v>
      </c>
      <c r="F1011">
        <v>19205</v>
      </c>
      <c r="G1011">
        <v>5.12</v>
      </c>
      <c r="H1011">
        <v>3.1488</v>
      </c>
      <c r="I1011">
        <f t="shared" si="31"/>
        <v>1</v>
      </c>
    </row>
    <row r="1012" spans="2:9" x14ac:dyDescent="0.25">
      <c r="B1012">
        <v>70429</v>
      </c>
      <c r="C1012" t="s">
        <v>836</v>
      </c>
      <c r="D1012" t="s">
        <v>1362</v>
      </c>
      <c r="E1012" t="str">
        <f t="shared" si="30"/>
        <v>SUCRE - MAJAGUAL</v>
      </c>
      <c r="F1012">
        <v>34010</v>
      </c>
      <c r="G1012">
        <v>7.12</v>
      </c>
      <c r="H1012">
        <v>4.3788</v>
      </c>
      <c r="I1012">
        <f t="shared" si="31"/>
        <v>1</v>
      </c>
    </row>
    <row r="1013" spans="2:9" x14ac:dyDescent="0.25">
      <c r="B1013">
        <v>70473</v>
      </c>
      <c r="C1013" t="s">
        <v>836</v>
      </c>
      <c r="D1013" t="s">
        <v>1363</v>
      </c>
      <c r="E1013" t="str">
        <f t="shared" si="30"/>
        <v>SUCRE - MORROA</v>
      </c>
      <c r="F1013">
        <v>15121</v>
      </c>
      <c r="G1013">
        <v>5.67</v>
      </c>
      <c r="H1013">
        <v>3.48705</v>
      </c>
      <c r="I1013">
        <f t="shared" si="31"/>
        <v>1</v>
      </c>
    </row>
    <row r="1014" spans="2:9" x14ac:dyDescent="0.25">
      <c r="B1014">
        <v>70508</v>
      </c>
      <c r="C1014" t="s">
        <v>836</v>
      </c>
      <c r="D1014" t="s">
        <v>1364</v>
      </c>
      <c r="E1014" t="str">
        <f t="shared" si="30"/>
        <v>SUCRE - OVEJAS</v>
      </c>
      <c r="F1014">
        <v>20846</v>
      </c>
      <c r="G1014">
        <v>4.97</v>
      </c>
      <c r="H1014">
        <v>3.0565499999999997</v>
      </c>
      <c r="I1014">
        <f t="shared" si="31"/>
        <v>1</v>
      </c>
    </row>
    <row r="1015" spans="2:9" x14ac:dyDescent="0.25">
      <c r="B1015">
        <v>70523</v>
      </c>
      <c r="C1015" t="s">
        <v>836</v>
      </c>
      <c r="D1015" t="s">
        <v>1365</v>
      </c>
      <c r="E1015" t="str">
        <f t="shared" si="30"/>
        <v>SUCRE - PALMITO</v>
      </c>
      <c r="F1015">
        <v>14790</v>
      </c>
      <c r="G1015">
        <v>3.03</v>
      </c>
      <c r="H1015">
        <v>1.8634499999999998</v>
      </c>
      <c r="I1015">
        <f t="shared" si="31"/>
        <v>1</v>
      </c>
    </row>
    <row r="1016" spans="2:9" x14ac:dyDescent="0.25">
      <c r="B1016">
        <v>70670</v>
      </c>
      <c r="C1016" t="s">
        <v>836</v>
      </c>
      <c r="D1016" t="s">
        <v>1366</v>
      </c>
      <c r="E1016" t="str">
        <f t="shared" si="30"/>
        <v>SUCRE - SAMPUÉS</v>
      </c>
      <c r="F1016">
        <v>38487</v>
      </c>
      <c r="G1016">
        <v>14.17</v>
      </c>
      <c r="H1016">
        <v>8.7145499999999991</v>
      </c>
      <c r="I1016">
        <f t="shared" si="31"/>
        <v>1</v>
      </c>
    </row>
    <row r="1017" spans="2:9" x14ac:dyDescent="0.25">
      <c r="B1017">
        <v>70678</v>
      </c>
      <c r="C1017" t="s">
        <v>836</v>
      </c>
      <c r="D1017" t="s">
        <v>1367</v>
      </c>
      <c r="E1017" t="str">
        <f t="shared" si="30"/>
        <v>SUCRE - SAN BENITO ABAD</v>
      </c>
      <c r="F1017">
        <v>26595</v>
      </c>
      <c r="G1017">
        <v>3.69</v>
      </c>
      <c r="H1017">
        <v>2.2693499999999998</v>
      </c>
      <c r="I1017">
        <f t="shared" si="31"/>
        <v>1</v>
      </c>
    </row>
    <row r="1018" spans="2:9" x14ac:dyDescent="0.25">
      <c r="B1018">
        <v>70702</v>
      </c>
      <c r="C1018" t="s">
        <v>836</v>
      </c>
      <c r="D1018" t="s">
        <v>1368</v>
      </c>
      <c r="E1018" t="str">
        <f t="shared" si="30"/>
        <v>SUCRE - SAN JUAN DE BETULIA</v>
      </c>
      <c r="F1018">
        <v>12595</v>
      </c>
      <c r="G1018">
        <v>1.43</v>
      </c>
      <c r="H1018">
        <v>0.87944999999999995</v>
      </c>
      <c r="I1018">
        <f t="shared" si="31"/>
        <v>1</v>
      </c>
    </row>
    <row r="1019" spans="2:9" x14ac:dyDescent="0.25">
      <c r="B1019">
        <v>70708</v>
      </c>
      <c r="C1019" t="s">
        <v>836</v>
      </c>
      <c r="D1019" t="s">
        <v>1369</v>
      </c>
      <c r="E1019" t="str">
        <f t="shared" si="30"/>
        <v>SUCRE - SAN MARCOS</v>
      </c>
      <c r="F1019">
        <v>59976</v>
      </c>
      <c r="G1019">
        <v>13</v>
      </c>
      <c r="H1019">
        <v>7.9950000000000001</v>
      </c>
      <c r="I1019">
        <f t="shared" si="31"/>
        <v>1</v>
      </c>
    </row>
    <row r="1020" spans="2:9" x14ac:dyDescent="0.25">
      <c r="B1020">
        <v>70713</v>
      </c>
      <c r="C1020" t="s">
        <v>836</v>
      </c>
      <c r="D1020" t="s">
        <v>1370</v>
      </c>
      <c r="E1020" t="str">
        <f t="shared" si="30"/>
        <v>SUCRE - SAN ONOFRE</v>
      </c>
      <c r="F1020">
        <v>51991</v>
      </c>
      <c r="G1020">
        <v>10.39</v>
      </c>
      <c r="H1020">
        <v>6.38985</v>
      </c>
      <c r="I1020">
        <f t="shared" si="31"/>
        <v>1</v>
      </c>
    </row>
    <row r="1021" spans="2:9" x14ac:dyDescent="0.25">
      <c r="B1021">
        <v>70717</v>
      </c>
      <c r="C1021" t="s">
        <v>836</v>
      </c>
      <c r="D1021" t="s">
        <v>1371</v>
      </c>
      <c r="E1021" t="str">
        <f t="shared" si="30"/>
        <v>SUCRE - SAN PEDRO</v>
      </c>
      <c r="F1021">
        <v>15877</v>
      </c>
      <c r="G1021">
        <v>5.83</v>
      </c>
      <c r="H1021">
        <v>3.5854499999999998</v>
      </c>
      <c r="I1021">
        <f t="shared" si="31"/>
        <v>1</v>
      </c>
    </row>
    <row r="1022" spans="2:9" x14ac:dyDescent="0.25">
      <c r="B1022">
        <v>70742</v>
      </c>
      <c r="C1022" t="s">
        <v>836</v>
      </c>
      <c r="D1022" t="s">
        <v>1372</v>
      </c>
      <c r="E1022" t="str">
        <f t="shared" si="30"/>
        <v>SUCRE - SAN LUIS DE SINCÉ</v>
      </c>
      <c r="F1022">
        <v>35022</v>
      </c>
      <c r="G1022">
        <v>11.79</v>
      </c>
      <c r="H1022">
        <v>7.2508499999999998</v>
      </c>
      <c r="I1022">
        <f t="shared" si="31"/>
        <v>1</v>
      </c>
    </row>
    <row r="1023" spans="2:9" x14ac:dyDescent="0.25">
      <c r="B1023">
        <v>70771</v>
      </c>
      <c r="C1023" t="s">
        <v>836</v>
      </c>
      <c r="D1023" t="s">
        <v>836</v>
      </c>
      <c r="E1023" t="str">
        <f t="shared" si="30"/>
        <v>SUCRE - SUCRE</v>
      </c>
      <c r="F1023">
        <v>22480</v>
      </c>
      <c r="G1023">
        <v>3.62</v>
      </c>
      <c r="H1023">
        <v>2.2263000000000002</v>
      </c>
      <c r="I1023">
        <f t="shared" si="31"/>
        <v>1</v>
      </c>
    </row>
    <row r="1024" spans="2:9" x14ac:dyDescent="0.25">
      <c r="B1024">
        <v>70820</v>
      </c>
      <c r="C1024" t="s">
        <v>836</v>
      </c>
      <c r="D1024" t="s">
        <v>1373</v>
      </c>
      <c r="E1024" t="str">
        <f t="shared" si="30"/>
        <v>SUCRE - SANTIAGO DE TOLÚ</v>
      </c>
      <c r="F1024">
        <v>35670</v>
      </c>
      <c r="G1024">
        <v>20.92</v>
      </c>
      <c r="H1024">
        <v>12.8658</v>
      </c>
      <c r="I1024">
        <f t="shared" si="31"/>
        <v>2</v>
      </c>
    </row>
    <row r="1025" spans="2:9" x14ac:dyDescent="0.25">
      <c r="B1025">
        <v>70823</v>
      </c>
      <c r="C1025" t="s">
        <v>836</v>
      </c>
      <c r="D1025" t="s">
        <v>1374</v>
      </c>
      <c r="E1025" t="str">
        <f t="shared" si="30"/>
        <v>SUCRE - SAN JOSÉ DE TOLUVIEJO</v>
      </c>
      <c r="F1025">
        <v>18892</v>
      </c>
      <c r="G1025">
        <v>6.7</v>
      </c>
      <c r="H1025">
        <v>4.1204999999999998</v>
      </c>
      <c r="I1025">
        <f t="shared" si="31"/>
        <v>1</v>
      </c>
    </row>
    <row r="1026" spans="2:9" x14ac:dyDescent="0.25">
      <c r="B1026">
        <v>73001</v>
      </c>
      <c r="C1026" t="s">
        <v>1375</v>
      </c>
      <c r="D1026" t="s">
        <v>1376</v>
      </c>
      <c r="E1026" t="str">
        <f t="shared" si="30"/>
        <v>TOLIMA - IBAGUÉ</v>
      </c>
      <c r="F1026">
        <v>574568</v>
      </c>
      <c r="G1026">
        <v>431.44</v>
      </c>
      <c r="H1026">
        <v>265.3356</v>
      </c>
      <c r="I1026">
        <f t="shared" si="31"/>
        <v>3</v>
      </c>
    </row>
    <row r="1027" spans="2:9" x14ac:dyDescent="0.25">
      <c r="B1027">
        <v>73024</v>
      </c>
      <c r="C1027" t="s">
        <v>1375</v>
      </c>
      <c r="D1027" t="s">
        <v>1377</v>
      </c>
      <c r="E1027" t="str">
        <f t="shared" si="30"/>
        <v>TOLIMA - ALPUJARRA</v>
      </c>
      <c r="F1027">
        <v>4929</v>
      </c>
      <c r="G1027">
        <v>3.09</v>
      </c>
      <c r="H1027">
        <v>1.90035</v>
      </c>
      <c r="I1027">
        <f t="shared" si="31"/>
        <v>1</v>
      </c>
    </row>
    <row r="1028" spans="2:9" x14ac:dyDescent="0.25">
      <c r="B1028">
        <v>73026</v>
      </c>
      <c r="C1028" t="s">
        <v>1375</v>
      </c>
      <c r="D1028" t="s">
        <v>1378</v>
      </c>
      <c r="E1028" t="str">
        <f t="shared" ref="E1028:E1091" si="32">C1028&amp;" - "&amp;D1028</f>
        <v>TOLIMA - ALVARADO</v>
      </c>
      <c r="F1028">
        <v>8757</v>
      </c>
      <c r="G1028">
        <v>3.83</v>
      </c>
      <c r="H1028">
        <v>2.3554499999999998</v>
      </c>
      <c r="I1028">
        <f t="shared" ref="I1028:I1091" si="33">IF(H1028&lt;$P$3,$O$3,IF(H1028&lt;$P$4,$O$4,IF(H1028&lt;$P$5,$O$5,$O$6)))</f>
        <v>1</v>
      </c>
    </row>
    <row r="1029" spans="2:9" x14ac:dyDescent="0.25">
      <c r="B1029">
        <v>73030</v>
      </c>
      <c r="C1029" t="s">
        <v>1375</v>
      </c>
      <c r="D1029" t="s">
        <v>1379</v>
      </c>
      <c r="E1029" t="str">
        <f t="shared" si="32"/>
        <v>TOLIMA - AMBALEMA</v>
      </c>
      <c r="F1029">
        <v>6521</v>
      </c>
      <c r="G1029">
        <v>3.06</v>
      </c>
      <c r="H1029">
        <v>1.8818999999999999</v>
      </c>
      <c r="I1029">
        <f t="shared" si="33"/>
        <v>1</v>
      </c>
    </row>
    <row r="1030" spans="2:9" x14ac:dyDescent="0.25">
      <c r="B1030">
        <v>73043</v>
      </c>
      <c r="C1030" t="s">
        <v>1375</v>
      </c>
      <c r="D1030" t="s">
        <v>1380</v>
      </c>
      <c r="E1030" t="str">
        <f t="shared" si="32"/>
        <v>TOLIMA - ANZOÁTEGUI</v>
      </c>
      <c r="F1030">
        <v>19278</v>
      </c>
      <c r="G1030">
        <v>1.59</v>
      </c>
      <c r="H1030">
        <v>0.97785</v>
      </c>
      <c r="I1030">
        <f t="shared" si="33"/>
        <v>1</v>
      </c>
    </row>
    <row r="1031" spans="2:9" x14ac:dyDescent="0.25">
      <c r="B1031">
        <v>73055</v>
      </c>
      <c r="C1031" t="s">
        <v>1375</v>
      </c>
      <c r="D1031" t="s">
        <v>1381</v>
      </c>
      <c r="E1031" t="str">
        <f t="shared" si="32"/>
        <v>TOLIMA - ARMERO</v>
      </c>
      <c r="F1031">
        <v>11490</v>
      </c>
      <c r="G1031">
        <v>6.3</v>
      </c>
      <c r="H1031">
        <v>3.8744999999999998</v>
      </c>
      <c r="I1031">
        <f t="shared" si="33"/>
        <v>1</v>
      </c>
    </row>
    <row r="1032" spans="2:9" x14ac:dyDescent="0.25">
      <c r="B1032">
        <v>73067</v>
      </c>
      <c r="C1032" t="s">
        <v>1375</v>
      </c>
      <c r="D1032" t="s">
        <v>1382</v>
      </c>
      <c r="E1032" t="str">
        <f t="shared" si="32"/>
        <v>TOLIMA - ATACO</v>
      </c>
      <c r="F1032">
        <v>22818</v>
      </c>
      <c r="G1032">
        <v>1.73</v>
      </c>
      <c r="H1032">
        <v>1.06395</v>
      </c>
      <c r="I1032">
        <f t="shared" si="33"/>
        <v>1</v>
      </c>
    </row>
    <row r="1033" spans="2:9" x14ac:dyDescent="0.25">
      <c r="B1033">
        <v>73124</v>
      </c>
      <c r="C1033" t="s">
        <v>1375</v>
      </c>
      <c r="D1033" t="s">
        <v>1383</v>
      </c>
      <c r="E1033" t="str">
        <f t="shared" si="32"/>
        <v>TOLIMA - CAJAMARCA</v>
      </c>
      <c r="F1033">
        <v>19596</v>
      </c>
      <c r="G1033">
        <v>6.56</v>
      </c>
      <c r="H1033">
        <v>4.0343999999999998</v>
      </c>
      <c r="I1033">
        <f t="shared" si="33"/>
        <v>1</v>
      </c>
    </row>
    <row r="1034" spans="2:9" x14ac:dyDescent="0.25">
      <c r="B1034">
        <v>73148</v>
      </c>
      <c r="C1034" t="s">
        <v>1375</v>
      </c>
      <c r="D1034" t="s">
        <v>1384</v>
      </c>
      <c r="E1034" t="str">
        <f t="shared" si="32"/>
        <v>TOLIMA - CARMEN DE APICALÁ</v>
      </c>
      <c r="F1034">
        <v>8956</v>
      </c>
      <c r="G1034">
        <v>8.0500000000000007</v>
      </c>
      <c r="H1034">
        <v>4.9507500000000002</v>
      </c>
      <c r="I1034">
        <f t="shared" si="33"/>
        <v>1</v>
      </c>
    </row>
    <row r="1035" spans="2:9" x14ac:dyDescent="0.25">
      <c r="B1035">
        <v>73152</v>
      </c>
      <c r="C1035" t="s">
        <v>1375</v>
      </c>
      <c r="D1035" t="s">
        <v>1385</v>
      </c>
      <c r="E1035" t="str">
        <f t="shared" si="32"/>
        <v>TOLIMA - CASABIANCA</v>
      </c>
      <c r="F1035">
        <v>6583</v>
      </c>
      <c r="G1035">
        <v>0.75</v>
      </c>
      <c r="H1035">
        <v>0.46124999999999999</v>
      </c>
      <c r="I1035">
        <f t="shared" si="33"/>
        <v>1</v>
      </c>
    </row>
    <row r="1036" spans="2:9" x14ac:dyDescent="0.25">
      <c r="B1036">
        <v>73168</v>
      </c>
      <c r="C1036" t="s">
        <v>1375</v>
      </c>
      <c r="D1036" t="s">
        <v>1386</v>
      </c>
      <c r="E1036" t="str">
        <f t="shared" si="32"/>
        <v>TOLIMA - CHAPARRAL</v>
      </c>
      <c r="F1036">
        <v>47397</v>
      </c>
      <c r="G1036">
        <v>12.36</v>
      </c>
      <c r="H1036">
        <v>7.6013999999999999</v>
      </c>
      <c r="I1036">
        <f t="shared" si="33"/>
        <v>1</v>
      </c>
    </row>
    <row r="1037" spans="2:9" x14ac:dyDescent="0.25">
      <c r="B1037">
        <v>73200</v>
      </c>
      <c r="C1037" t="s">
        <v>1375</v>
      </c>
      <c r="D1037" t="s">
        <v>1387</v>
      </c>
      <c r="E1037" t="str">
        <f t="shared" si="32"/>
        <v>TOLIMA - COELLO</v>
      </c>
      <c r="F1037">
        <v>10043</v>
      </c>
      <c r="G1037">
        <v>4.28</v>
      </c>
      <c r="H1037">
        <v>2.6322000000000001</v>
      </c>
      <c r="I1037">
        <f t="shared" si="33"/>
        <v>1</v>
      </c>
    </row>
    <row r="1038" spans="2:9" x14ac:dyDescent="0.25">
      <c r="B1038">
        <v>73217</v>
      </c>
      <c r="C1038" t="s">
        <v>1375</v>
      </c>
      <c r="D1038" t="s">
        <v>1388</v>
      </c>
      <c r="E1038" t="str">
        <f t="shared" si="32"/>
        <v>TOLIMA - COYAIMA</v>
      </c>
      <c r="F1038">
        <v>28443</v>
      </c>
      <c r="G1038">
        <v>3.64</v>
      </c>
      <c r="H1038">
        <v>2.2385999999999999</v>
      </c>
      <c r="I1038">
        <f t="shared" si="33"/>
        <v>1</v>
      </c>
    </row>
    <row r="1039" spans="2:9" x14ac:dyDescent="0.25">
      <c r="B1039">
        <v>73226</v>
      </c>
      <c r="C1039" t="s">
        <v>1375</v>
      </c>
      <c r="D1039" t="s">
        <v>1389</v>
      </c>
      <c r="E1039" t="str">
        <f t="shared" si="32"/>
        <v>TOLIMA - CUNDAY</v>
      </c>
      <c r="F1039">
        <v>9368</v>
      </c>
      <c r="G1039">
        <v>1.4</v>
      </c>
      <c r="H1039">
        <v>0.86099999999999999</v>
      </c>
      <c r="I1039">
        <f t="shared" si="33"/>
        <v>1</v>
      </c>
    </row>
    <row r="1040" spans="2:9" x14ac:dyDescent="0.25">
      <c r="B1040">
        <v>73236</v>
      </c>
      <c r="C1040" t="s">
        <v>1375</v>
      </c>
      <c r="D1040" t="s">
        <v>1390</v>
      </c>
      <c r="E1040" t="str">
        <f t="shared" si="32"/>
        <v>TOLIMA - DOLORES</v>
      </c>
      <c r="F1040">
        <v>7728</v>
      </c>
      <c r="G1040">
        <v>1.31</v>
      </c>
      <c r="H1040">
        <v>0.80564999999999998</v>
      </c>
      <c r="I1040">
        <f t="shared" si="33"/>
        <v>1</v>
      </c>
    </row>
    <row r="1041" spans="2:9" x14ac:dyDescent="0.25">
      <c r="B1041">
        <v>73268</v>
      </c>
      <c r="C1041" t="s">
        <v>1375</v>
      </c>
      <c r="D1041" t="s">
        <v>1391</v>
      </c>
      <c r="E1041" t="str">
        <f t="shared" si="32"/>
        <v>TOLIMA - ESPINAL</v>
      </c>
      <c r="F1041">
        <v>75828</v>
      </c>
      <c r="G1041">
        <v>53.82</v>
      </c>
      <c r="H1041">
        <v>33.099299999999999</v>
      </c>
      <c r="I1041">
        <f t="shared" si="33"/>
        <v>2</v>
      </c>
    </row>
    <row r="1042" spans="2:9" x14ac:dyDescent="0.25">
      <c r="B1042">
        <v>73270</v>
      </c>
      <c r="C1042" t="s">
        <v>1375</v>
      </c>
      <c r="D1042" t="s">
        <v>1392</v>
      </c>
      <c r="E1042" t="str">
        <f t="shared" si="32"/>
        <v>TOLIMA - FALAN</v>
      </c>
      <c r="F1042">
        <v>9188</v>
      </c>
      <c r="G1042">
        <v>1.07</v>
      </c>
      <c r="H1042">
        <v>0.65805000000000002</v>
      </c>
      <c r="I1042">
        <f t="shared" si="33"/>
        <v>1</v>
      </c>
    </row>
    <row r="1043" spans="2:9" x14ac:dyDescent="0.25">
      <c r="B1043">
        <v>73275</v>
      </c>
      <c r="C1043" t="s">
        <v>1375</v>
      </c>
      <c r="D1043" t="s">
        <v>1393</v>
      </c>
      <c r="E1043" t="str">
        <f t="shared" si="32"/>
        <v>TOLIMA - FLANDES</v>
      </c>
      <c r="F1043">
        <v>29478</v>
      </c>
      <c r="G1043">
        <v>19.78</v>
      </c>
      <c r="H1043">
        <v>12.1647</v>
      </c>
      <c r="I1043">
        <f t="shared" si="33"/>
        <v>2</v>
      </c>
    </row>
    <row r="1044" spans="2:9" x14ac:dyDescent="0.25">
      <c r="B1044">
        <v>73283</v>
      </c>
      <c r="C1044" t="s">
        <v>1375</v>
      </c>
      <c r="D1044" t="s">
        <v>1394</v>
      </c>
      <c r="E1044" t="str">
        <f t="shared" si="32"/>
        <v>TOLIMA - FRESNO</v>
      </c>
      <c r="F1044">
        <v>29794</v>
      </c>
      <c r="G1044">
        <v>5.16</v>
      </c>
      <c r="H1044">
        <v>3.1734</v>
      </c>
      <c r="I1044">
        <f t="shared" si="33"/>
        <v>1</v>
      </c>
    </row>
    <row r="1045" spans="2:9" x14ac:dyDescent="0.25">
      <c r="B1045">
        <v>73319</v>
      </c>
      <c r="C1045" t="s">
        <v>1375</v>
      </c>
      <c r="D1045" t="s">
        <v>1395</v>
      </c>
      <c r="E1045" t="str">
        <f t="shared" si="32"/>
        <v>TOLIMA - GUAMO</v>
      </c>
      <c r="F1045">
        <v>31350</v>
      </c>
      <c r="G1045">
        <v>14.79</v>
      </c>
      <c r="H1045">
        <v>9.0958499999999987</v>
      </c>
      <c r="I1045">
        <f t="shared" si="33"/>
        <v>1</v>
      </c>
    </row>
    <row r="1046" spans="2:9" x14ac:dyDescent="0.25">
      <c r="B1046">
        <v>73347</v>
      </c>
      <c r="C1046" t="s">
        <v>1375</v>
      </c>
      <c r="D1046" t="s">
        <v>1396</v>
      </c>
      <c r="E1046" t="str">
        <f t="shared" si="32"/>
        <v>TOLIMA - HERVEO</v>
      </c>
      <c r="F1046">
        <v>7693</v>
      </c>
      <c r="G1046">
        <v>1.89</v>
      </c>
      <c r="H1046">
        <v>1.16235</v>
      </c>
      <c r="I1046">
        <f t="shared" si="33"/>
        <v>1</v>
      </c>
    </row>
    <row r="1047" spans="2:9" x14ac:dyDescent="0.25">
      <c r="B1047">
        <v>73349</v>
      </c>
      <c r="C1047" t="s">
        <v>1375</v>
      </c>
      <c r="D1047" t="s">
        <v>1397</v>
      </c>
      <c r="E1047" t="str">
        <f t="shared" si="32"/>
        <v>TOLIMA - HONDA</v>
      </c>
      <c r="F1047">
        <v>23830</v>
      </c>
      <c r="G1047">
        <v>19.13</v>
      </c>
      <c r="H1047">
        <v>11.764949999999999</v>
      </c>
      <c r="I1047">
        <f t="shared" si="33"/>
        <v>2</v>
      </c>
    </row>
    <row r="1048" spans="2:9" x14ac:dyDescent="0.25">
      <c r="B1048">
        <v>73352</v>
      </c>
      <c r="C1048" t="s">
        <v>1375</v>
      </c>
      <c r="D1048" t="s">
        <v>1398</v>
      </c>
      <c r="E1048" t="str">
        <f t="shared" si="32"/>
        <v>TOLIMA - ICONONZO</v>
      </c>
      <c r="F1048">
        <v>10604</v>
      </c>
      <c r="G1048">
        <v>2.86</v>
      </c>
      <c r="H1048">
        <v>1.7588999999999999</v>
      </c>
      <c r="I1048">
        <f t="shared" si="33"/>
        <v>1</v>
      </c>
    </row>
    <row r="1049" spans="2:9" x14ac:dyDescent="0.25">
      <c r="B1049">
        <v>73408</v>
      </c>
      <c r="C1049" t="s">
        <v>1375</v>
      </c>
      <c r="D1049" t="s">
        <v>1399</v>
      </c>
      <c r="E1049" t="str">
        <f t="shared" si="32"/>
        <v>TOLIMA - LÉRIDA</v>
      </c>
      <c r="F1049">
        <v>16819</v>
      </c>
      <c r="G1049">
        <v>10.91</v>
      </c>
      <c r="H1049">
        <v>6.7096499999999999</v>
      </c>
      <c r="I1049">
        <f t="shared" si="33"/>
        <v>1</v>
      </c>
    </row>
    <row r="1050" spans="2:9" x14ac:dyDescent="0.25">
      <c r="B1050">
        <v>73411</v>
      </c>
      <c r="C1050" t="s">
        <v>1375</v>
      </c>
      <c r="D1050" t="s">
        <v>1400</v>
      </c>
      <c r="E1050" t="str">
        <f t="shared" si="32"/>
        <v>TOLIMA - LÍBANO</v>
      </c>
      <c r="F1050">
        <v>39665</v>
      </c>
      <c r="G1050">
        <v>14.61</v>
      </c>
      <c r="H1050">
        <v>8.9851499999999991</v>
      </c>
      <c r="I1050">
        <f t="shared" si="33"/>
        <v>1</v>
      </c>
    </row>
    <row r="1051" spans="2:9" x14ac:dyDescent="0.25">
      <c r="B1051">
        <v>73443</v>
      </c>
      <c r="C1051" t="s">
        <v>1375</v>
      </c>
      <c r="D1051" t="s">
        <v>1401</v>
      </c>
      <c r="E1051" t="str">
        <f t="shared" si="32"/>
        <v>TOLIMA - SAN SEBASTIÁN DE MARIQUITA</v>
      </c>
      <c r="F1051">
        <v>33347</v>
      </c>
      <c r="G1051">
        <v>22.73</v>
      </c>
      <c r="H1051">
        <v>13.978949999999999</v>
      </c>
      <c r="I1051">
        <f t="shared" si="33"/>
        <v>2</v>
      </c>
    </row>
    <row r="1052" spans="2:9" x14ac:dyDescent="0.25">
      <c r="B1052">
        <v>73449</v>
      </c>
      <c r="C1052" t="s">
        <v>1375</v>
      </c>
      <c r="D1052" t="s">
        <v>1402</v>
      </c>
      <c r="E1052" t="str">
        <f t="shared" si="32"/>
        <v>TOLIMA - MELGAR</v>
      </c>
      <c r="F1052">
        <v>37224</v>
      </c>
      <c r="G1052">
        <v>38.229999999999997</v>
      </c>
      <c r="H1052">
        <v>23.511449999999996</v>
      </c>
      <c r="I1052">
        <f t="shared" si="33"/>
        <v>2</v>
      </c>
    </row>
    <row r="1053" spans="2:9" x14ac:dyDescent="0.25">
      <c r="B1053">
        <v>73461</v>
      </c>
      <c r="C1053" t="s">
        <v>1375</v>
      </c>
      <c r="D1053" t="s">
        <v>1403</v>
      </c>
      <c r="E1053" t="str">
        <f t="shared" si="32"/>
        <v>TOLIMA - MURILLO</v>
      </c>
      <c r="F1053">
        <v>4996</v>
      </c>
      <c r="G1053">
        <v>0.4</v>
      </c>
      <c r="H1053">
        <v>0.246</v>
      </c>
      <c r="I1053">
        <f t="shared" si="33"/>
        <v>1</v>
      </c>
    </row>
    <row r="1054" spans="2:9" x14ac:dyDescent="0.25">
      <c r="B1054">
        <v>73483</v>
      </c>
      <c r="C1054" t="s">
        <v>1375</v>
      </c>
      <c r="D1054" t="s">
        <v>1404</v>
      </c>
      <c r="E1054" t="str">
        <f t="shared" si="32"/>
        <v>TOLIMA - NATAGAIMA</v>
      </c>
      <c r="F1054">
        <v>22320</v>
      </c>
      <c r="G1054">
        <v>4.87</v>
      </c>
      <c r="H1054">
        <v>2.99505</v>
      </c>
      <c r="I1054">
        <f t="shared" si="33"/>
        <v>1</v>
      </c>
    </row>
    <row r="1055" spans="2:9" x14ac:dyDescent="0.25">
      <c r="B1055">
        <v>73504</v>
      </c>
      <c r="C1055" t="s">
        <v>1375</v>
      </c>
      <c r="D1055" t="s">
        <v>1405</v>
      </c>
      <c r="E1055" t="str">
        <f t="shared" si="32"/>
        <v>TOLIMA - ORTEGA</v>
      </c>
      <c r="F1055">
        <v>32164</v>
      </c>
      <c r="G1055">
        <v>1.88</v>
      </c>
      <c r="H1055">
        <v>1.1561999999999999</v>
      </c>
      <c r="I1055">
        <f t="shared" si="33"/>
        <v>1</v>
      </c>
    </row>
    <row r="1056" spans="2:9" x14ac:dyDescent="0.25">
      <c r="B1056">
        <v>73520</v>
      </c>
      <c r="C1056" t="s">
        <v>1375</v>
      </c>
      <c r="D1056" t="s">
        <v>1406</v>
      </c>
      <c r="E1056" t="str">
        <f t="shared" si="32"/>
        <v>TOLIMA - PALOCABILDO</v>
      </c>
      <c r="F1056">
        <v>9052</v>
      </c>
      <c r="G1056">
        <v>2.0099999999999998</v>
      </c>
      <c r="H1056">
        <v>1.2361499999999999</v>
      </c>
      <c r="I1056">
        <f t="shared" si="33"/>
        <v>1</v>
      </c>
    </row>
    <row r="1057" spans="2:9" x14ac:dyDescent="0.25">
      <c r="B1057">
        <v>73547</v>
      </c>
      <c r="C1057" t="s">
        <v>1375</v>
      </c>
      <c r="D1057" t="s">
        <v>1407</v>
      </c>
      <c r="E1057" t="str">
        <f t="shared" si="32"/>
        <v>TOLIMA - PIEDRAS</v>
      </c>
      <c r="F1057">
        <v>5705</v>
      </c>
      <c r="G1057">
        <v>2.4300000000000002</v>
      </c>
      <c r="H1057">
        <v>1.4944500000000001</v>
      </c>
      <c r="I1057">
        <f t="shared" si="33"/>
        <v>1</v>
      </c>
    </row>
    <row r="1058" spans="2:9" x14ac:dyDescent="0.25">
      <c r="B1058">
        <v>73555</v>
      </c>
      <c r="C1058" t="s">
        <v>1375</v>
      </c>
      <c r="D1058" t="s">
        <v>1408</v>
      </c>
      <c r="E1058" t="str">
        <f t="shared" si="32"/>
        <v>TOLIMA - PLANADAS</v>
      </c>
      <c r="F1058">
        <v>30117</v>
      </c>
      <c r="G1058">
        <v>4.93</v>
      </c>
      <c r="H1058">
        <v>3.0319499999999997</v>
      </c>
      <c r="I1058">
        <f t="shared" si="33"/>
        <v>1</v>
      </c>
    </row>
    <row r="1059" spans="2:9" x14ac:dyDescent="0.25">
      <c r="B1059">
        <v>73563</v>
      </c>
      <c r="C1059" t="s">
        <v>1375</v>
      </c>
      <c r="D1059" t="s">
        <v>1409</v>
      </c>
      <c r="E1059" t="str">
        <f t="shared" si="32"/>
        <v>TOLIMA - PRADO</v>
      </c>
      <c r="F1059">
        <v>7429</v>
      </c>
      <c r="G1059">
        <v>2.39</v>
      </c>
      <c r="H1059">
        <v>1.4698500000000001</v>
      </c>
      <c r="I1059">
        <f t="shared" si="33"/>
        <v>1</v>
      </c>
    </row>
    <row r="1060" spans="2:9" x14ac:dyDescent="0.25">
      <c r="B1060">
        <v>73616</v>
      </c>
      <c r="C1060" t="s">
        <v>1375</v>
      </c>
      <c r="D1060" t="s">
        <v>1410</v>
      </c>
      <c r="E1060" t="str">
        <f t="shared" si="32"/>
        <v>TOLIMA - RIOBLANCO</v>
      </c>
      <c r="F1060">
        <v>24139</v>
      </c>
      <c r="G1060">
        <v>1.05</v>
      </c>
      <c r="H1060">
        <v>0.64575000000000005</v>
      </c>
      <c r="I1060">
        <f t="shared" si="33"/>
        <v>1</v>
      </c>
    </row>
    <row r="1061" spans="2:9" x14ac:dyDescent="0.25">
      <c r="B1061">
        <v>73624</v>
      </c>
      <c r="C1061" t="s">
        <v>1375</v>
      </c>
      <c r="D1061" t="s">
        <v>1411</v>
      </c>
      <c r="E1061" t="str">
        <f t="shared" si="32"/>
        <v>TOLIMA - ROVIRA</v>
      </c>
      <c r="F1061">
        <v>20255</v>
      </c>
      <c r="G1061">
        <v>5.62</v>
      </c>
      <c r="H1061">
        <v>3.4563000000000001</v>
      </c>
      <c r="I1061">
        <f t="shared" si="33"/>
        <v>1</v>
      </c>
    </row>
    <row r="1062" spans="2:9" x14ac:dyDescent="0.25">
      <c r="B1062">
        <v>73671</v>
      </c>
      <c r="C1062" t="s">
        <v>1375</v>
      </c>
      <c r="D1062" t="s">
        <v>1412</v>
      </c>
      <c r="E1062" t="str">
        <f t="shared" si="32"/>
        <v>TOLIMA - SALDAÑA</v>
      </c>
      <c r="F1062">
        <v>14184</v>
      </c>
      <c r="G1062">
        <v>7.51</v>
      </c>
      <c r="H1062">
        <v>4.6186499999999997</v>
      </c>
      <c r="I1062">
        <f t="shared" si="33"/>
        <v>1</v>
      </c>
    </row>
    <row r="1063" spans="2:9" x14ac:dyDescent="0.25">
      <c r="B1063">
        <v>73675</v>
      </c>
      <c r="C1063" t="s">
        <v>1375</v>
      </c>
      <c r="D1063" t="s">
        <v>1413</v>
      </c>
      <c r="E1063" t="str">
        <f t="shared" si="32"/>
        <v>TOLIMA - SAN ANTONIO</v>
      </c>
      <c r="F1063">
        <v>14059</v>
      </c>
      <c r="G1063">
        <v>1.92</v>
      </c>
      <c r="H1063">
        <v>1.1807999999999998</v>
      </c>
      <c r="I1063">
        <f t="shared" si="33"/>
        <v>1</v>
      </c>
    </row>
    <row r="1064" spans="2:9" x14ac:dyDescent="0.25">
      <c r="B1064">
        <v>73678</v>
      </c>
      <c r="C1064" t="s">
        <v>1375</v>
      </c>
      <c r="D1064" t="s">
        <v>512</v>
      </c>
      <c r="E1064" t="str">
        <f t="shared" si="32"/>
        <v>TOLIMA - SAN LUIS</v>
      </c>
      <c r="F1064">
        <v>19117</v>
      </c>
      <c r="G1064">
        <v>4.54</v>
      </c>
      <c r="H1064">
        <v>2.7921</v>
      </c>
      <c r="I1064">
        <f t="shared" si="33"/>
        <v>1</v>
      </c>
    </row>
    <row r="1065" spans="2:9" x14ac:dyDescent="0.25">
      <c r="B1065">
        <v>73686</v>
      </c>
      <c r="C1065" t="s">
        <v>1375</v>
      </c>
      <c r="D1065" t="s">
        <v>1414</v>
      </c>
      <c r="E1065" t="str">
        <f t="shared" si="32"/>
        <v>TOLIMA - SANTA ISABEL</v>
      </c>
      <c r="F1065">
        <v>6301</v>
      </c>
      <c r="G1065">
        <v>0.63</v>
      </c>
      <c r="H1065">
        <v>0.38745000000000002</v>
      </c>
      <c r="I1065">
        <f t="shared" si="33"/>
        <v>1</v>
      </c>
    </row>
    <row r="1066" spans="2:9" x14ac:dyDescent="0.25">
      <c r="B1066">
        <v>73770</v>
      </c>
      <c r="C1066" t="s">
        <v>1375</v>
      </c>
      <c r="D1066" t="s">
        <v>835</v>
      </c>
      <c r="E1066" t="str">
        <f t="shared" si="32"/>
        <v>TOLIMA - SUÁREZ</v>
      </c>
      <c r="F1066">
        <v>4554</v>
      </c>
      <c r="G1066">
        <v>1.44</v>
      </c>
      <c r="H1066">
        <v>0.88559999999999994</v>
      </c>
      <c r="I1066">
        <f t="shared" si="33"/>
        <v>1</v>
      </c>
    </row>
    <row r="1067" spans="2:9" x14ac:dyDescent="0.25">
      <c r="B1067">
        <v>73854</v>
      </c>
      <c r="C1067" t="s">
        <v>1375</v>
      </c>
      <c r="D1067" t="s">
        <v>1415</v>
      </c>
      <c r="E1067" t="str">
        <f t="shared" si="32"/>
        <v>TOLIMA - VALLE DE SAN JUAN</v>
      </c>
      <c r="F1067">
        <v>6427</v>
      </c>
      <c r="G1067">
        <v>1.69</v>
      </c>
      <c r="H1067">
        <v>1.03935</v>
      </c>
      <c r="I1067">
        <f t="shared" si="33"/>
        <v>1</v>
      </c>
    </row>
    <row r="1068" spans="2:9" x14ac:dyDescent="0.25">
      <c r="B1068">
        <v>73861</v>
      </c>
      <c r="C1068" t="s">
        <v>1375</v>
      </c>
      <c r="D1068" t="s">
        <v>1416</v>
      </c>
      <c r="E1068" t="str">
        <f t="shared" si="32"/>
        <v>TOLIMA - VENADILLO</v>
      </c>
      <c r="F1068">
        <v>19825</v>
      </c>
      <c r="G1068">
        <v>5.87</v>
      </c>
      <c r="H1068">
        <v>3.6100500000000002</v>
      </c>
      <c r="I1068">
        <f t="shared" si="33"/>
        <v>1</v>
      </c>
    </row>
    <row r="1069" spans="2:9" x14ac:dyDescent="0.25">
      <c r="B1069">
        <v>73870</v>
      </c>
      <c r="C1069" t="s">
        <v>1375</v>
      </c>
      <c r="D1069" t="s">
        <v>1417</v>
      </c>
      <c r="E1069" t="str">
        <f t="shared" si="32"/>
        <v>TOLIMA - VILLAHERMOSA</v>
      </c>
      <c r="F1069">
        <v>10463</v>
      </c>
      <c r="G1069">
        <v>0.39</v>
      </c>
      <c r="H1069">
        <v>0.23985000000000001</v>
      </c>
      <c r="I1069">
        <f t="shared" si="33"/>
        <v>1</v>
      </c>
    </row>
    <row r="1070" spans="2:9" x14ac:dyDescent="0.25">
      <c r="B1070">
        <v>73873</v>
      </c>
      <c r="C1070" t="s">
        <v>1375</v>
      </c>
      <c r="D1070" t="s">
        <v>1418</v>
      </c>
      <c r="E1070" t="str">
        <f t="shared" si="32"/>
        <v>TOLIMA - VILLARRICA</v>
      </c>
      <c r="F1070">
        <v>5177</v>
      </c>
      <c r="G1070">
        <v>1.05</v>
      </c>
      <c r="H1070">
        <v>0.64575000000000005</v>
      </c>
      <c r="I1070">
        <f t="shared" si="33"/>
        <v>1</v>
      </c>
    </row>
    <row r="1071" spans="2:9" x14ac:dyDescent="0.25">
      <c r="B1071">
        <v>73585</v>
      </c>
      <c r="C1071" t="s">
        <v>1375</v>
      </c>
      <c r="D1071" t="s">
        <v>1419</v>
      </c>
      <c r="E1071" t="str">
        <f t="shared" si="32"/>
        <v>TOLIMA - PURIFICACIÓN</v>
      </c>
      <c r="F1071">
        <v>29777</v>
      </c>
      <c r="G1071">
        <v>12.16</v>
      </c>
      <c r="H1071">
        <v>7.4783999999999997</v>
      </c>
      <c r="I1071">
        <f t="shared" si="33"/>
        <v>1</v>
      </c>
    </row>
    <row r="1072" spans="2:9" x14ac:dyDescent="0.25">
      <c r="B1072">
        <v>73622</v>
      </c>
      <c r="C1072" t="s">
        <v>1375</v>
      </c>
      <c r="D1072" t="s">
        <v>1420</v>
      </c>
      <c r="E1072" t="str">
        <f t="shared" si="32"/>
        <v>TOLIMA - RONCESVALLES</v>
      </c>
      <c r="F1072">
        <v>6363</v>
      </c>
      <c r="G1072">
        <v>0.67</v>
      </c>
      <c r="H1072">
        <v>0.41205000000000003</v>
      </c>
      <c r="I1072">
        <f t="shared" si="33"/>
        <v>1</v>
      </c>
    </row>
    <row r="1073" spans="2:9" x14ac:dyDescent="0.25">
      <c r="B1073">
        <v>76001</v>
      </c>
      <c r="C1073" t="s">
        <v>1421</v>
      </c>
      <c r="D1073" t="s">
        <v>1422</v>
      </c>
      <c r="E1073" t="str">
        <f t="shared" si="32"/>
        <v>VALLE DEL CAUCA - CALI</v>
      </c>
      <c r="F1073">
        <v>2470852</v>
      </c>
      <c r="G1073">
        <v>2209.62</v>
      </c>
      <c r="H1073">
        <v>1358.9162999999999</v>
      </c>
      <c r="I1073">
        <f t="shared" si="33"/>
        <v>4</v>
      </c>
    </row>
    <row r="1074" spans="2:9" x14ac:dyDescent="0.25">
      <c r="B1074">
        <v>76020</v>
      </c>
      <c r="C1074" t="s">
        <v>1421</v>
      </c>
      <c r="D1074" t="s">
        <v>1423</v>
      </c>
      <c r="E1074" t="str">
        <f t="shared" si="32"/>
        <v>VALLE DEL CAUCA - ALCALÁ</v>
      </c>
      <c r="F1074">
        <v>23195</v>
      </c>
      <c r="G1074">
        <v>3.28</v>
      </c>
      <c r="H1074">
        <v>2.0171999999999999</v>
      </c>
      <c r="I1074">
        <f t="shared" si="33"/>
        <v>1</v>
      </c>
    </row>
    <row r="1075" spans="2:9" x14ac:dyDescent="0.25">
      <c r="B1075">
        <v>76036</v>
      </c>
      <c r="C1075" t="s">
        <v>1421</v>
      </c>
      <c r="D1075" t="s">
        <v>1424</v>
      </c>
      <c r="E1075" t="str">
        <f t="shared" si="32"/>
        <v>VALLE DEL CAUCA - ANDALUCÍA</v>
      </c>
      <c r="F1075">
        <v>17713</v>
      </c>
      <c r="G1075">
        <v>12.17</v>
      </c>
      <c r="H1075">
        <v>7.4845499999999996</v>
      </c>
      <c r="I1075">
        <f t="shared" si="33"/>
        <v>1</v>
      </c>
    </row>
    <row r="1076" spans="2:9" x14ac:dyDescent="0.25">
      <c r="B1076">
        <v>76041</v>
      </c>
      <c r="C1076" t="s">
        <v>1421</v>
      </c>
      <c r="D1076" t="s">
        <v>1425</v>
      </c>
      <c r="E1076" t="str">
        <f t="shared" si="32"/>
        <v>VALLE DEL CAUCA - ANSERMANUEVO</v>
      </c>
      <c r="F1076">
        <v>19160</v>
      </c>
      <c r="G1076">
        <v>4.16</v>
      </c>
      <c r="H1076">
        <v>2.5584000000000002</v>
      </c>
      <c r="I1076">
        <f t="shared" si="33"/>
        <v>1</v>
      </c>
    </row>
    <row r="1077" spans="2:9" x14ac:dyDescent="0.25">
      <c r="B1077">
        <v>76054</v>
      </c>
      <c r="C1077" t="s">
        <v>1421</v>
      </c>
      <c r="D1077" t="s">
        <v>432</v>
      </c>
      <c r="E1077" t="str">
        <f t="shared" si="32"/>
        <v>VALLE DEL CAUCA - ARGELIA</v>
      </c>
      <c r="F1077">
        <v>6346</v>
      </c>
      <c r="G1077">
        <v>1.22</v>
      </c>
      <c r="H1077">
        <v>0.75029999999999997</v>
      </c>
      <c r="I1077">
        <f t="shared" si="33"/>
        <v>1</v>
      </c>
    </row>
    <row r="1078" spans="2:9" x14ac:dyDescent="0.25">
      <c r="B1078">
        <v>76100</v>
      </c>
      <c r="C1078" t="s">
        <v>1421</v>
      </c>
      <c r="D1078" t="s">
        <v>577</v>
      </c>
      <c r="E1078" t="str">
        <f t="shared" si="32"/>
        <v>VALLE DEL CAUCA - BOLÍVAR</v>
      </c>
      <c r="F1078">
        <v>12795</v>
      </c>
      <c r="G1078">
        <v>3.6</v>
      </c>
      <c r="H1078">
        <v>2.214</v>
      </c>
      <c r="I1078">
        <f t="shared" si="33"/>
        <v>1</v>
      </c>
    </row>
    <row r="1079" spans="2:9" x14ac:dyDescent="0.25">
      <c r="B1079">
        <v>76109</v>
      </c>
      <c r="C1079" t="s">
        <v>1421</v>
      </c>
      <c r="D1079" t="s">
        <v>1426</v>
      </c>
      <c r="E1079" t="str">
        <f t="shared" si="32"/>
        <v>VALLE DEL CAUCA - BUENAVENTURA</v>
      </c>
      <c r="F1079">
        <v>432501</v>
      </c>
      <c r="G1079">
        <v>184</v>
      </c>
      <c r="H1079">
        <v>113.16</v>
      </c>
      <c r="I1079">
        <f t="shared" si="33"/>
        <v>3</v>
      </c>
    </row>
    <row r="1080" spans="2:9" x14ac:dyDescent="0.25">
      <c r="B1080">
        <v>76111</v>
      </c>
      <c r="C1080" t="s">
        <v>1421</v>
      </c>
      <c r="D1080" t="s">
        <v>1427</v>
      </c>
      <c r="E1080" t="str">
        <f t="shared" si="32"/>
        <v>VALLE DEL CAUCA - GUADALAJARA DE BUGA</v>
      </c>
      <c r="F1080">
        <v>114316</v>
      </c>
      <c r="G1080">
        <v>121.19</v>
      </c>
      <c r="H1080">
        <v>74.531849999999991</v>
      </c>
      <c r="I1080">
        <f t="shared" si="33"/>
        <v>3</v>
      </c>
    </row>
    <row r="1081" spans="2:9" x14ac:dyDescent="0.25">
      <c r="B1081">
        <v>76113</v>
      </c>
      <c r="C1081" t="s">
        <v>1421</v>
      </c>
      <c r="D1081" t="s">
        <v>1428</v>
      </c>
      <c r="E1081" t="str">
        <f t="shared" si="32"/>
        <v>VALLE DEL CAUCA - BUGALAGRANDE</v>
      </c>
      <c r="F1081">
        <v>20970</v>
      </c>
      <c r="G1081">
        <v>11.88</v>
      </c>
      <c r="H1081">
        <v>7.3062000000000005</v>
      </c>
      <c r="I1081">
        <f t="shared" si="33"/>
        <v>1</v>
      </c>
    </row>
    <row r="1082" spans="2:9" x14ac:dyDescent="0.25">
      <c r="B1082">
        <v>76122</v>
      </c>
      <c r="C1082" t="s">
        <v>1421</v>
      </c>
      <c r="D1082" t="s">
        <v>1429</v>
      </c>
      <c r="E1082" t="str">
        <f t="shared" si="32"/>
        <v>VALLE DEL CAUCA - CAICEDONIA</v>
      </c>
      <c r="F1082">
        <v>29424</v>
      </c>
      <c r="G1082">
        <v>11.37</v>
      </c>
      <c r="H1082">
        <v>6.9925499999999996</v>
      </c>
      <c r="I1082">
        <f t="shared" si="33"/>
        <v>1</v>
      </c>
    </row>
    <row r="1083" spans="2:9" x14ac:dyDescent="0.25">
      <c r="B1083">
        <v>76126</v>
      </c>
      <c r="C1083" t="s">
        <v>1421</v>
      </c>
      <c r="D1083" t="s">
        <v>1430</v>
      </c>
      <c r="E1083" t="str">
        <f t="shared" si="32"/>
        <v>VALLE DEL CAUCA - CALIMA</v>
      </c>
      <c r="F1083">
        <v>15873</v>
      </c>
      <c r="G1083">
        <v>15.28</v>
      </c>
      <c r="H1083">
        <v>9.3971999999999998</v>
      </c>
      <c r="I1083">
        <f t="shared" si="33"/>
        <v>1</v>
      </c>
    </row>
    <row r="1084" spans="2:9" x14ac:dyDescent="0.25">
      <c r="B1084">
        <v>76130</v>
      </c>
      <c r="C1084" t="s">
        <v>1421</v>
      </c>
      <c r="D1084" t="s">
        <v>557</v>
      </c>
      <c r="E1084" t="str">
        <f t="shared" si="32"/>
        <v>VALLE DEL CAUCA - CANDELARIA</v>
      </c>
      <c r="F1084">
        <v>86584</v>
      </c>
      <c r="G1084">
        <v>56.61</v>
      </c>
      <c r="H1084">
        <v>34.815149999999996</v>
      </c>
      <c r="I1084">
        <f t="shared" si="33"/>
        <v>2</v>
      </c>
    </row>
    <row r="1085" spans="2:9" x14ac:dyDescent="0.25">
      <c r="B1085">
        <v>76147</v>
      </c>
      <c r="C1085" t="s">
        <v>1421</v>
      </c>
      <c r="D1085" t="s">
        <v>1431</v>
      </c>
      <c r="E1085" t="str">
        <f t="shared" si="32"/>
        <v>VALLE DEL CAUCA - CARTAGO</v>
      </c>
      <c r="F1085">
        <v>134972</v>
      </c>
      <c r="G1085">
        <v>98.57</v>
      </c>
      <c r="H1085">
        <v>60.620549999999994</v>
      </c>
      <c r="I1085">
        <f t="shared" si="33"/>
        <v>3</v>
      </c>
    </row>
    <row r="1086" spans="2:9" x14ac:dyDescent="0.25">
      <c r="B1086">
        <v>76233</v>
      </c>
      <c r="C1086" t="s">
        <v>1421</v>
      </c>
      <c r="D1086" t="s">
        <v>1432</v>
      </c>
      <c r="E1086" t="str">
        <f t="shared" si="32"/>
        <v>VALLE DEL CAUCA - DAGUA</v>
      </c>
      <c r="F1086">
        <v>36891</v>
      </c>
      <c r="G1086">
        <v>25.52</v>
      </c>
      <c r="H1086">
        <v>15.694799999999999</v>
      </c>
      <c r="I1086">
        <f t="shared" si="33"/>
        <v>2</v>
      </c>
    </row>
    <row r="1087" spans="2:9" x14ac:dyDescent="0.25">
      <c r="B1087">
        <v>76243</v>
      </c>
      <c r="C1087" t="s">
        <v>1421</v>
      </c>
      <c r="D1087" t="s">
        <v>1433</v>
      </c>
      <c r="E1087" t="str">
        <f t="shared" si="32"/>
        <v>VALLE DEL CAUCA - EL ÁGUILA</v>
      </c>
      <c r="F1087">
        <v>11261</v>
      </c>
      <c r="G1087">
        <v>1.7</v>
      </c>
      <c r="H1087">
        <v>1.0454999999999999</v>
      </c>
      <c r="I1087">
        <f t="shared" si="33"/>
        <v>1</v>
      </c>
    </row>
    <row r="1088" spans="2:9" x14ac:dyDescent="0.25">
      <c r="B1088">
        <v>76246</v>
      </c>
      <c r="C1088" t="s">
        <v>1421</v>
      </c>
      <c r="D1088" t="s">
        <v>1434</v>
      </c>
      <c r="E1088" t="str">
        <f t="shared" si="32"/>
        <v>VALLE DEL CAUCA - EL CAIRO</v>
      </c>
      <c r="F1088">
        <v>10258</v>
      </c>
      <c r="G1088">
        <v>1.42</v>
      </c>
      <c r="H1088">
        <v>0.87329999999999997</v>
      </c>
      <c r="I1088">
        <f t="shared" si="33"/>
        <v>1</v>
      </c>
    </row>
    <row r="1089" spans="2:9" x14ac:dyDescent="0.25">
      <c r="B1089">
        <v>76248</v>
      </c>
      <c r="C1089" t="s">
        <v>1421</v>
      </c>
      <c r="D1089" t="s">
        <v>1435</v>
      </c>
      <c r="E1089" t="str">
        <f t="shared" si="32"/>
        <v>VALLE DEL CAUCA - EL CERRITO</v>
      </c>
      <c r="F1089">
        <v>58563</v>
      </c>
      <c r="G1089">
        <v>41.82</v>
      </c>
      <c r="H1089">
        <v>25.7193</v>
      </c>
      <c r="I1089">
        <f t="shared" si="33"/>
        <v>2</v>
      </c>
    </row>
    <row r="1090" spans="2:9" x14ac:dyDescent="0.25">
      <c r="B1090">
        <v>76250</v>
      </c>
      <c r="C1090" t="s">
        <v>1421</v>
      </c>
      <c r="D1090" t="s">
        <v>1436</v>
      </c>
      <c r="E1090" t="str">
        <f t="shared" si="32"/>
        <v>VALLE DEL CAUCA - EL DOVIO</v>
      </c>
      <c r="F1090">
        <v>8143</v>
      </c>
      <c r="G1090">
        <v>3.03</v>
      </c>
      <c r="H1090">
        <v>1.8634499999999998</v>
      </c>
      <c r="I1090">
        <f t="shared" si="33"/>
        <v>1</v>
      </c>
    </row>
    <row r="1091" spans="2:9" x14ac:dyDescent="0.25">
      <c r="B1091">
        <v>76275</v>
      </c>
      <c r="C1091" t="s">
        <v>1421</v>
      </c>
      <c r="D1091" t="s">
        <v>1437</v>
      </c>
      <c r="E1091" t="str">
        <f t="shared" si="32"/>
        <v>VALLE DEL CAUCA - FLORIDA</v>
      </c>
      <c r="F1091">
        <v>58988</v>
      </c>
      <c r="G1091">
        <v>40.57</v>
      </c>
      <c r="H1091">
        <v>24.95055</v>
      </c>
      <c r="I1091">
        <f t="shared" si="33"/>
        <v>2</v>
      </c>
    </row>
    <row r="1092" spans="2:9" x14ac:dyDescent="0.25">
      <c r="B1092">
        <v>76306</v>
      </c>
      <c r="C1092" t="s">
        <v>1421</v>
      </c>
      <c r="D1092" t="s">
        <v>1438</v>
      </c>
      <c r="E1092" t="str">
        <f t="shared" ref="E1092:E1124" si="34">C1092&amp;" - "&amp;D1092</f>
        <v>VALLE DEL CAUCA - GINEBRA</v>
      </c>
      <c r="F1092">
        <v>21815</v>
      </c>
      <c r="G1092">
        <v>14.09</v>
      </c>
      <c r="H1092">
        <v>8.6653500000000001</v>
      </c>
      <c r="I1092">
        <f t="shared" ref="I1092:I1124" si="35">IF(H1092&lt;$P$3,$O$3,IF(H1092&lt;$P$4,$O$4,IF(H1092&lt;$P$5,$O$5,$O$6)))</f>
        <v>1</v>
      </c>
    </row>
    <row r="1093" spans="2:9" x14ac:dyDescent="0.25">
      <c r="B1093">
        <v>76318</v>
      </c>
      <c r="C1093" t="s">
        <v>1421</v>
      </c>
      <c r="D1093" t="s">
        <v>1439</v>
      </c>
      <c r="E1093" t="str">
        <f t="shared" si="34"/>
        <v>VALLE DEL CAUCA - GUACARÍ</v>
      </c>
      <c r="F1093">
        <v>35662</v>
      </c>
      <c r="G1093">
        <v>18.809999999999999</v>
      </c>
      <c r="H1093">
        <v>11.568149999999999</v>
      </c>
      <c r="I1093">
        <f t="shared" si="35"/>
        <v>2</v>
      </c>
    </row>
    <row r="1094" spans="2:9" x14ac:dyDescent="0.25">
      <c r="B1094">
        <v>76364</v>
      </c>
      <c r="C1094" t="s">
        <v>1421</v>
      </c>
      <c r="D1094" t="s">
        <v>1440</v>
      </c>
      <c r="E1094" t="str">
        <f t="shared" si="34"/>
        <v>VALLE DEL CAUCA - JAMUNDÍ</v>
      </c>
      <c r="F1094">
        <v>129877</v>
      </c>
      <c r="G1094">
        <v>95.2</v>
      </c>
      <c r="H1094">
        <v>58.548000000000002</v>
      </c>
      <c r="I1094">
        <f t="shared" si="35"/>
        <v>3</v>
      </c>
    </row>
    <row r="1095" spans="2:9" x14ac:dyDescent="0.25">
      <c r="B1095">
        <v>76377</v>
      </c>
      <c r="C1095" t="s">
        <v>1421</v>
      </c>
      <c r="D1095" t="s">
        <v>1441</v>
      </c>
      <c r="E1095" t="str">
        <f t="shared" si="34"/>
        <v>VALLE DEL CAUCA - LA CUMBRE</v>
      </c>
      <c r="F1095">
        <v>11731</v>
      </c>
      <c r="G1095">
        <v>13.47</v>
      </c>
      <c r="H1095">
        <v>8.2840500000000006</v>
      </c>
      <c r="I1095">
        <f t="shared" si="35"/>
        <v>1</v>
      </c>
    </row>
    <row r="1096" spans="2:9" x14ac:dyDescent="0.25">
      <c r="B1096">
        <v>76400</v>
      </c>
      <c r="C1096" t="s">
        <v>1421</v>
      </c>
      <c r="D1096" t="s">
        <v>483</v>
      </c>
      <c r="E1096" t="str">
        <f t="shared" si="34"/>
        <v>VALLE DEL CAUCA - LA UNIÓN</v>
      </c>
      <c r="F1096">
        <v>40339</v>
      </c>
      <c r="G1096">
        <v>20.32</v>
      </c>
      <c r="H1096">
        <v>12.4968</v>
      </c>
      <c r="I1096">
        <f t="shared" si="35"/>
        <v>2</v>
      </c>
    </row>
    <row r="1097" spans="2:9" x14ac:dyDescent="0.25">
      <c r="B1097">
        <v>76403</v>
      </c>
      <c r="C1097" t="s">
        <v>1421</v>
      </c>
      <c r="D1097" t="s">
        <v>669</v>
      </c>
      <c r="E1097" t="str">
        <f t="shared" si="34"/>
        <v>VALLE DEL CAUCA - LA VICTORIA</v>
      </c>
      <c r="F1097">
        <v>12902</v>
      </c>
      <c r="G1097">
        <v>5.93</v>
      </c>
      <c r="H1097">
        <v>3.6469499999999999</v>
      </c>
      <c r="I1097">
        <f t="shared" si="35"/>
        <v>1</v>
      </c>
    </row>
    <row r="1098" spans="2:9" x14ac:dyDescent="0.25">
      <c r="B1098">
        <v>76497</v>
      </c>
      <c r="C1098" t="s">
        <v>1421</v>
      </c>
      <c r="D1098" t="s">
        <v>1442</v>
      </c>
      <c r="E1098" t="str">
        <f t="shared" si="34"/>
        <v>VALLE DEL CAUCA - OBANDO</v>
      </c>
      <c r="F1098">
        <v>15318</v>
      </c>
      <c r="G1098">
        <v>4.18</v>
      </c>
      <c r="H1098">
        <v>2.5707</v>
      </c>
      <c r="I1098">
        <f t="shared" si="35"/>
        <v>1</v>
      </c>
    </row>
    <row r="1099" spans="2:9" x14ac:dyDescent="0.25">
      <c r="B1099">
        <v>76520</v>
      </c>
      <c r="C1099" t="s">
        <v>1421</v>
      </c>
      <c r="D1099" t="s">
        <v>1443</v>
      </c>
      <c r="E1099" t="str">
        <f t="shared" si="34"/>
        <v>VALLE DEL CAUCA - PALMIRA</v>
      </c>
      <c r="F1099">
        <v>312507</v>
      </c>
      <c r="G1099">
        <v>247.79</v>
      </c>
      <c r="H1099">
        <v>152.39085</v>
      </c>
      <c r="I1099">
        <f t="shared" si="35"/>
        <v>3</v>
      </c>
    </row>
    <row r="1100" spans="2:9" x14ac:dyDescent="0.25">
      <c r="B1100">
        <v>76563</v>
      </c>
      <c r="C1100" t="s">
        <v>1421</v>
      </c>
      <c r="D1100" t="s">
        <v>1444</v>
      </c>
      <c r="E1100" t="str">
        <f t="shared" si="34"/>
        <v>VALLE DEL CAUCA - PRADERA</v>
      </c>
      <c r="F1100">
        <v>57990</v>
      </c>
      <c r="G1100">
        <v>29.38</v>
      </c>
      <c r="H1100">
        <v>18.0687</v>
      </c>
      <c r="I1100">
        <f t="shared" si="35"/>
        <v>2</v>
      </c>
    </row>
    <row r="1101" spans="2:9" x14ac:dyDescent="0.25">
      <c r="B1101">
        <v>76606</v>
      </c>
      <c r="C1101" t="s">
        <v>1421</v>
      </c>
      <c r="D1101" t="s">
        <v>1149</v>
      </c>
      <c r="E1101" t="str">
        <f t="shared" si="34"/>
        <v>VALLE DEL CAUCA - RESTREPO</v>
      </c>
      <c r="F1101">
        <v>16410</v>
      </c>
      <c r="G1101">
        <v>12.71</v>
      </c>
      <c r="H1101">
        <v>7.8166500000000001</v>
      </c>
      <c r="I1101">
        <f t="shared" si="35"/>
        <v>1</v>
      </c>
    </row>
    <row r="1102" spans="2:9" x14ac:dyDescent="0.25">
      <c r="B1102">
        <v>76616</v>
      </c>
      <c r="C1102" t="s">
        <v>1421</v>
      </c>
      <c r="D1102" t="s">
        <v>1445</v>
      </c>
      <c r="E1102" t="str">
        <f t="shared" si="34"/>
        <v>VALLE DEL CAUCA - RIOFRÍO</v>
      </c>
      <c r="F1102">
        <v>13807</v>
      </c>
      <c r="G1102">
        <v>4.6900000000000004</v>
      </c>
      <c r="H1102">
        <v>2.8843500000000004</v>
      </c>
      <c r="I1102">
        <f t="shared" si="35"/>
        <v>1</v>
      </c>
    </row>
    <row r="1103" spans="2:9" x14ac:dyDescent="0.25">
      <c r="B1103">
        <v>76622</v>
      </c>
      <c r="C1103" t="s">
        <v>1421</v>
      </c>
      <c r="D1103" t="s">
        <v>1446</v>
      </c>
      <c r="E1103" t="str">
        <f t="shared" si="34"/>
        <v>VALLE DEL CAUCA - ROLDANILLO</v>
      </c>
      <c r="F1103">
        <v>32035</v>
      </c>
      <c r="G1103">
        <v>17.920000000000002</v>
      </c>
      <c r="H1103">
        <v>11.020800000000001</v>
      </c>
      <c r="I1103">
        <f t="shared" si="35"/>
        <v>2</v>
      </c>
    </row>
    <row r="1104" spans="2:9" x14ac:dyDescent="0.25">
      <c r="B1104">
        <v>76670</v>
      </c>
      <c r="C1104" t="s">
        <v>1421</v>
      </c>
      <c r="D1104" t="s">
        <v>1371</v>
      </c>
      <c r="E1104" t="str">
        <f t="shared" si="34"/>
        <v>VALLE DEL CAUCA - SAN PEDRO</v>
      </c>
      <c r="F1104">
        <v>19129</v>
      </c>
      <c r="G1104">
        <v>9.93</v>
      </c>
      <c r="H1104">
        <v>6.1069499999999994</v>
      </c>
      <c r="I1104">
        <f t="shared" si="35"/>
        <v>1</v>
      </c>
    </row>
    <row r="1105" spans="2:9" x14ac:dyDescent="0.25">
      <c r="B1105">
        <v>76736</v>
      </c>
      <c r="C1105" t="s">
        <v>1421</v>
      </c>
      <c r="D1105" t="s">
        <v>1447</v>
      </c>
      <c r="E1105" t="str">
        <f t="shared" si="34"/>
        <v>VALLE DEL CAUCA - SEVILLA</v>
      </c>
      <c r="F1105">
        <v>44028</v>
      </c>
      <c r="G1105">
        <v>15.28</v>
      </c>
      <c r="H1105">
        <v>9.3971999999999998</v>
      </c>
      <c r="I1105">
        <f t="shared" si="35"/>
        <v>1</v>
      </c>
    </row>
    <row r="1106" spans="2:9" x14ac:dyDescent="0.25">
      <c r="B1106">
        <v>76823</v>
      </c>
      <c r="C1106" t="s">
        <v>1421</v>
      </c>
      <c r="D1106" t="s">
        <v>1448</v>
      </c>
      <c r="E1106" t="str">
        <f t="shared" si="34"/>
        <v>VALLE DEL CAUCA - TORO</v>
      </c>
      <c r="F1106">
        <v>16669</v>
      </c>
      <c r="G1106">
        <v>4.47</v>
      </c>
      <c r="H1106">
        <v>2.74905</v>
      </c>
      <c r="I1106">
        <f t="shared" si="35"/>
        <v>1</v>
      </c>
    </row>
    <row r="1107" spans="2:9" x14ac:dyDescent="0.25">
      <c r="B1107">
        <v>76828</v>
      </c>
      <c r="C1107" t="s">
        <v>1421</v>
      </c>
      <c r="D1107" t="s">
        <v>1449</v>
      </c>
      <c r="E1107" t="str">
        <f t="shared" si="34"/>
        <v>VALLE DEL CAUCA - TRUJILLO</v>
      </c>
      <c r="F1107">
        <v>17859</v>
      </c>
      <c r="G1107">
        <v>5.77</v>
      </c>
      <c r="H1107">
        <v>3.5485499999999996</v>
      </c>
      <c r="I1107">
        <f t="shared" si="35"/>
        <v>1</v>
      </c>
    </row>
    <row r="1108" spans="2:9" x14ac:dyDescent="0.25">
      <c r="B1108">
        <v>76834</v>
      </c>
      <c r="C1108" t="s">
        <v>1421</v>
      </c>
      <c r="D1108" t="s">
        <v>1450</v>
      </c>
      <c r="E1108" t="str">
        <f t="shared" si="34"/>
        <v>VALLE DEL CAUCA - TULUÁ</v>
      </c>
      <c r="F1108">
        <v>221701</v>
      </c>
      <c r="G1108">
        <v>195.22</v>
      </c>
      <c r="H1108">
        <v>120.0603</v>
      </c>
      <c r="I1108">
        <f t="shared" si="35"/>
        <v>3</v>
      </c>
    </row>
    <row r="1109" spans="2:9" x14ac:dyDescent="0.25">
      <c r="B1109">
        <v>76845</v>
      </c>
      <c r="C1109" t="s">
        <v>1421</v>
      </c>
      <c r="D1109" t="s">
        <v>1451</v>
      </c>
      <c r="E1109" t="str">
        <f t="shared" si="34"/>
        <v>VALLE DEL CAUCA - ULLOA</v>
      </c>
      <c r="F1109">
        <v>5301</v>
      </c>
      <c r="G1109">
        <v>1.61</v>
      </c>
      <c r="H1109">
        <v>0.99015000000000009</v>
      </c>
      <c r="I1109">
        <f t="shared" si="35"/>
        <v>1</v>
      </c>
    </row>
    <row r="1110" spans="2:9" x14ac:dyDescent="0.25">
      <c r="B1110">
        <v>76863</v>
      </c>
      <c r="C1110" t="s">
        <v>1421</v>
      </c>
      <c r="D1110" t="s">
        <v>1452</v>
      </c>
      <c r="E1110" t="str">
        <f t="shared" si="34"/>
        <v>VALLE DEL CAUCA - VERSALLES</v>
      </c>
      <c r="F1110">
        <v>6823</v>
      </c>
      <c r="G1110">
        <v>1.02</v>
      </c>
      <c r="H1110">
        <v>0.62729999999999997</v>
      </c>
      <c r="I1110">
        <f t="shared" si="35"/>
        <v>1</v>
      </c>
    </row>
    <row r="1111" spans="2:9" x14ac:dyDescent="0.25">
      <c r="B1111">
        <v>76869</v>
      </c>
      <c r="C1111" t="s">
        <v>1421</v>
      </c>
      <c r="D1111" t="s">
        <v>1453</v>
      </c>
      <c r="E1111" t="str">
        <f t="shared" si="34"/>
        <v>VALLE DEL CAUCA - VIJES</v>
      </c>
      <c r="F1111">
        <v>11543</v>
      </c>
      <c r="G1111">
        <v>5.91</v>
      </c>
      <c r="H1111">
        <v>3.6346500000000002</v>
      </c>
      <c r="I1111">
        <f t="shared" si="35"/>
        <v>1</v>
      </c>
    </row>
    <row r="1112" spans="2:9" x14ac:dyDescent="0.25">
      <c r="B1112">
        <v>76890</v>
      </c>
      <c r="C1112" t="s">
        <v>1421</v>
      </c>
      <c r="D1112" t="s">
        <v>1454</v>
      </c>
      <c r="E1112" t="str">
        <f t="shared" si="34"/>
        <v>VALLE DEL CAUCA - YOTOCO</v>
      </c>
      <c r="F1112">
        <v>16560</v>
      </c>
      <c r="G1112">
        <v>6.71</v>
      </c>
      <c r="H1112">
        <v>4.1266499999999997</v>
      </c>
      <c r="I1112">
        <f t="shared" si="35"/>
        <v>1</v>
      </c>
    </row>
    <row r="1113" spans="2:9" x14ac:dyDescent="0.25">
      <c r="B1113">
        <v>76892</v>
      </c>
      <c r="C1113" t="s">
        <v>1421</v>
      </c>
      <c r="D1113" t="s">
        <v>1455</v>
      </c>
      <c r="E1113" t="str">
        <f t="shared" si="34"/>
        <v>VALLE DEL CAUCA - YUMBO</v>
      </c>
      <c r="F1113">
        <v>128616</v>
      </c>
      <c r="G1113">
        <v>147.53</v>
      </c>
      <c r="H1113">
        <v>90.730949999999993</v>
      </c>
      <c r="I1113">
        <f t="shared" si="35"/>
        <v>3</v>
      </c>
    </row>
    <row r="1114" spans="2:9" x14ac:dyDescent="0.25">
      <c r="B1114">
        <v>76895</v>
      </c>
      <c r="C1114" t="s">
        <v>1421</v>
      </c>
      <c r="D1114" t="s">
        <v>1456</v>
      </c>
      <c r="E1114" t="str">
        <f t="shared" si="34"/>
        <v>VALLE DEL CAUCA - ZARZAL</v>
      </c>
      <c r="F1114">
        <v>47062</v>
      </c>
      <c r="G1114">
        <v>34.869999999999997</v>
      </c>
      <c r="H1114">
        <v>21.445049999999998</v>
      </c>
      <c r="I1114">
        <f t="shared" si="35"/>
        <v>2</v>
      </c>
    </row>
    <row r="1115" spans="2:9" x14ac:dyDescent="0.25">
      <c r="B1115">
        <v>97001</v>
      </c>
      <c r="C1115" t="s">
        <v>1457</v>
      </c>
      <c r="D1115" t="s">
        <v>1458</v>
      </c>
      <c r="E1115" t="str">
        <f t="shared" si="34"/>
        <v>VAUPÉS - MITÚ</v>
      </c>
      <c r="F1115">
        <v>32764</v>
      </c>
      <c r="G1115">
        <v>4.63</v>
      </c>
      <c r="H1115">
        <v>2.8474499999999998</v>
      </c>
      <c r="I1115">
        <f t="shared" si="35"/>
        <v>1</v>
      </c>
    </row>
    <row r="1116" spans="2:9" x14ac:dyDescent="0.25">
      <c r="B1116">
        <v>97161</v>
      </c>
      <c r="C1116" t="s">
        <v>1457</v>
      </c>
      <c r="D1116" t="s">
        <v>1459</v>
      </c>
      <c r="E1116" t="str">
        <f t="shared" si="34"/>
        <v>VAUPÉS - CARURÚ</v>
      </c>
      <c r="F1116">
        <v>3344</v>
      </c>
      <c r="G1116">
        <v>0.5</v>
      </c>
      <c r="H1116">
        <v>0.3075</v>
      </c>
      <c r="I1116">
        <f t="shared" si="35"/>
        <v>1</v>
      </c>
    </row>
    <row r="1117" spans="2:9" x14ac:dyDescent="0.25">
      <c r="B1117">
        <v>97666</v>
      </c>
      <c r="C1117" t="s">
        <v>1457</v>
      </c>
      <c r="D1117" t="s">
        <v>1460</v>
      </c>
      <c r="E1117" t="str">
        <f t="shared" si="34"/>
        <v>VAUPÉS - TARAIRA</v>
      </c>
      <c r="F1117">
        <v>944</v>
      </c>
      <c r="G1117">
        <v>0.42</v>
      </c>
      <c r="H1117">
        <v>0.25829999999999997</v>
      </c>
      <c r="I1117">
        <f t="shared" si="35"/>
        <v>1</v>
      </c>
    </row>
    <row r="1118" spans="2:9" x14ac:dyDescent="0.25">
      <c r="B1118">
        <v>97511</v>
      </c>
      <c r="C1118" t="s">
        <v>1457</v>
      </c>
      <c r="D1118" t="s">
        <v>1461</v>
      </c>
      <c r="E1118" t="str">
        <f t="shared" si="34"/>
        <v xml:space="preserve">VAUPÉS - PACOA  </v>
      </c>
      <c r="F1118">
        <v>6265</v>
      </c>
      <c r="G1118">
        <v>2.85684</v>
      </c>
      <c r="H1118">
        <v>1.7569566000000001</v>
      </c>
      <c r="I1118">
        <f t="shared" si="35"/>
        <v>1</v>
      </c>
    </row>
    <row r="1119" spans="2:9" x14ac:dyDescent="0.25">
      <c r="B1119">
        <v>97777</v>
      </c>
      <c r="C1119" t="s">
        <v>1457</v>
      </c>
      <c r="D1119" t="s">
        <v>1462</v>
      </c>
      <c r="E1119" t="str">
        <f t="shared" si="34"/>
        <v xml:space="preserve">VAUPÉS - PAPUNAUA  </v>
      </c>
      <c r="F1119">
        <v>828</v>
      </c>
      <c r="G1119">
        <v>0.37756799999999996</v>
      </c>
      <c r="H1119">
        <v>0.23220431999999996</v>
      </c>
      <c r="I1119">
        <f t="shared" si="35"/>
        <v>1</v>
      </c>
    </row>
    <row r="1120" spans="2:9" x14ac:dyDescent="0.25">
      <c r="B1120">
        <v>97889</v>
      </c>
      <c r="C1120" t="s">
        <v>1457</v>
      </c>
      <c r="D1120" t="s">
        <v>1463</v>
      </c>
      <c r="E1120" t="str">
        <f t="shared" si="34"/>
        <v xml:space="preserve">VAUPÉS - YAVARATÉ  </v>
      </c>
      <c r="F1120">
        <v>1222</v>
      </c>
      <c r="G1120">
        <v>0.55723199999999995</v>
      </c>
      <c r="H1120">
        <v>0.34269767999999995</v>
      </c>
      <c r="I1120">
        <f t="shared" si="35"/>
        <v>1</v>
      </c>
    </row>
    <row r="1121" spans="2:9" x14ac:dyDescent="0.25">
      <c r="B1121">
        <v>99001</v>
      </c>
      <c r="C1121" t="s">
        <v>1464</v>
      </c>
      <c r="D1121" t="s">
        <v>1465</v>
      </c>
      <c r="E1121" t="str">
        <f t="shared" si="34"/>
        <v>VICHADA - PUERTO CARREÑO</v>
      </c>
      <c r="F1121">
        <v>16763</v>
      </c>
      <c r="G1121">
        <v>15.85</v>
      </c>
      <c r="H1121">
        <v>9.7477499999999999</v>
      </c>
      <c r="I1121">
        <f t="shared" si="35"/>
        <v>1</v>
      </c>
    </row>
    <row r="1122" spans="2:9" x14ac:dyDescent="0.25">
      <c r="B1122">
        <v>99524</v>
      </c>
      <c r="C1122" t="s">
        <v>1464</v>
      </c>
      <c r="D1122" t="s">
        <v>1466</v>
      </c>
      <c r="E1122" t="str">
        <f t="shared" si="34"/>
        <v>VICHADA - la primavera</v>
      </c>
      <c r="F1122">
        <v>17626</v>
      </c>
      <c r="G1122">
        <v>3.53</v>
      </c>
      <c r="H1122">
        <v>2.1709499999999999</v>
      </c>
      <c r="I1122">
        <f t="shared" si="35"/>
        <v>1</v>
      </c>
    </row>
    <row r="1123" spans="2:9" x14ac:dyDescent="0.25">
      <c r="B1123">
        <v>99624</v>
      </c>
      <c r="C1123" t="s">
        <v>1464</v>
      </c>
      <c r="D1123" t="s">
        <v>1467</v>
      </c>
      <c r="E1123" t="str">
        <f t="shared" si="34"/>
        <v>VICHADA - santa rosalía</v>
      </c>
      <c r="F1123">
        <v>4255</v>
      </c>
      <c r="G1123">
        <v>0.79</v>
      </c>
      <c r="H1123">
        <v>0.48585</v>
      </c>
      <c r="I1123">
        <f t="shared" si="35"/>
        <v>1</v>
      </c>
    </row>
    <row r="1124" spans="2:9" x14ac:dyDescent="0.25">
      <c r="B1124">
        <v>99773</v>
      </c>
      <c r="C1124" t="s">
        <v>1464</v>
      </c>
      <c r="D1124" t="s">
        <v>1468</v>
      </c>
      <c r="E1124" t="str">
        <f t="shared" si="34"/>
        <v>VICHADA - cumaribo</v>
      </c>
      <c r="F1124">
        <v>40490</v>
      </c>
      <c r="G1124">
        <v>4.6500000000000004</v>
      </c>
      <c r="H1124">
        <v>2.85975</v>
      </c>
      <c r="I1124">
        <f t="shared" si="35"/>
        <v>1</v>
      </c>
    </row>
  </sheetData>
  <mergeCells count="1">
    <mergeCell ref="R2:S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CF72B-6CD1-42BC-81E8-F60D20EA3350}">
  <sheetPr codeName="Hoja10">
    <tabColor theme="6"/>
  </sheetPr>
  <dimension ref="A2:D14"/>
  <sheetViews>
    <sheetView workbookViewId="0">
      <selection activeCell="B128" sqref="B128"/>
    </sheetView>
  </sheetViews>
  <sheetFormatPr baseColWidth="10" defaultColWidth="11.42578125" defaultRowHeight="15" x14ac:dyDescent="0.25"/>
  <cols>
    <col min="1" max="1" width="29.140625" bestFit="1" customWidth="1"/>
  </cols>
  <sheetData>
    <row r="2" spans="1:4" x14ac:dyDescent="0.25">
      <c r="A2" t="s">
        <v>1469</v>
      </c>
      <c r="B2" s="12">
        <v>0.68</v>
      </c>
      <c r="D2" s="165" t="s">
        <v>1470</v>
      </c>
    </row>
    <row r="8" spans="1:4" x14ac:dyDescent="0.25">
      <c r="A8" t="s">
        <v>1471</v>
      </c>
      <c r="B8" s="13">
        <v>0.10199999999999999</v>
      </c>
    </row>
    <row r="9" spans="1:4" x14ac:dyDescent="0.25">
      <c r="A9" t="s">
        <v>1472</v>
      </c>
      <c r="B9" s="13">
        <v>0.43099999999999999</v>
      </c>
    </row>
    <row r="10" spans="1:4" x14ac:dyDescent="0.25">
      <c r="A10" t="s">
        <v>1473</v>
      </c>
      <c r="B10">
        <v>25</v>
      </c>
    </row>
    <row r="13" spans="1:4" x14ac:dyDescent="0.25">
      <c r="A13" t="s">
        <v>1474</v>
      </c>
      <c r="B13">
        <v>0.78</v>
      </c>
    </row>
    <row r="14" spans="1:4" ht="30" x14ac:dyDescent="0.25">
      <c r="A14" s="1" t="s">
        <v>1475</v>
      </c>
      <c r="B14" s="14">
        <v>0.61</v>
      </c>
    </row>
  </sheetData>
  <hyperlinks>
    <hyperlink ref="D2" r:id="rId1" xr:uid="{6539040D-E9E6-4C48-8B32-79F9538DF18B}"/>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283B7-CAD7-449C-840E-80E061C3CCEE}">
  <sheetPr codeName="Hoja11">
    <tabColor theme="6"/>
  </sheetPr>
  <dimension ref="A1:B9"/>
  <sheetViews>
    <sheetView topLeftCell="A6" zoomScale="70" zoomScaleNormal="70" workbookViewId="0">
      <selection activeCell="B128" sqref="B128"/>
    </sheetView>
  </sheetViews>
  <sheetFormatPr baseColWidth="10" defaultColWidth="11.42578125" defaultRowHeight="15" x14ac:dyDescent="0.25"/>
  <cols>
    <col min="2" max="2" width="119.7109375" customWidth="1"/>
    <col min="3" max="3" width="71.140625" customWidth="1"/>
  </cols>
  <sheetData>
    <row r="1" spans="1:2" ht="135" x14ac:dyDescent="0.25">
      <c r="A1">
        <v>1</v>
      </c>
      <c r="B1" s="1" t="s">
        <v>1476</v>
      </c>
    </row>
    <row r="2" spans="1:2" ht="148.5" customHeight="1" x14ac:dyDescent="0.25">
      <c r="A2">
        <v>2</v>
      </c>
      <c r="B2" s="1" t="s">
        <v>1477</v>
      </c>
    </row>
    <row r="3" spans="1:2" ht="257.25" customHeight="1" x14ac:dyDescent="0.25">
      <c r="A3">
        <v>3</v>
      </c>
      <c r="B3" s="1" t="s">
        <v>1478</v>
      </c>
    </row>
    <row r="4" spans="1:2" ht="240" x14ac:dyDescent="0.25">
      <c r="A4">
        <v>4</v>
      </c>
      <c r="B4" s="1" t="s">
        <v>1479</v>
      </c>
    </row>
    <row r="5" spans="1:2" ht="180" x14ac:dyDescent="0.25">
      <c r="A5">
        <v>5</v>
      </c>
      <c r="B5" s="1" t="s">
        <v>1480</v>
      </c>
    </row>
    <row r="6" spans="1:2" ht="210" x14ac:dyDescent="0.25">
      <c r="A6">
        <v>6</v>
      </c>
      <c r="B6" s="1" t="s">
        <v>1481</v>
      </c>
    </row>
    <row r="7" spans="1:2" ht="60" x14ac:dyDescent="0.25">
      <c r="B7" s="1" t="s">
        <v>1482</v>
      </c>
    </row>
    <row r="8" spans="1:2" ht="30" x14ac:dyDescent="0.25">
      <c r="B8" s="1" t="s">
        <v>1483</v>
      </c>
    </row>
    <row r="9" spans="1:2" ht="75" x14ac:dyDescent="0.25">
      <c r="B9" s="1" t="s">
        <v>1484</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519C7-08D8-4EA6-BD07-0E2DDF7995BF}">
  <sheetPr codeName="Hoja12">
    <tabColor theme="6"/>
  </sheetPr>
  <dimension ref="A1:G27"/>
  <sheetViews>
    <sheetView workbookViewId="0">
      <selection activeCell="B128" sqref="B128"/>
    </sheetView>
  </sheetViews>
  <sheetFormatPr baseColWidth="10" defaultColWidth="11.42578125" defaultRowHeight="15" x14ac:dyDescent="0.25"/>
  <cols>
    <col min="1" max="1" width="34.42578125" customWidth="1"/>
    <col min="3" max="3" width="48.7109375" customWidth="1"/>
    <col min="5" max="5" width="73.42578125" customWidth="1"/>
    <col min="7" max="7" width="51.42578125" bestFit="1" customWidth="1"/>
  </cols>
  <sheetData>
    <row r="1" spans="1:7" x14ac:dyDescent="0.25">
      <c r="A1" t="s">
        <v>1485</v>
      </c>
      <c r="C1" t="s">
        <v>36</v>
      </c>
      <c r="E1" t="s">
        <v>1486</v>
      </c>
      <c r="G1" t="s">
        <v>1487</v>
      </c>
    </row>
    <row r="2" spans="1:7" x14ac:dyDescent="0.25">
      <c r="A2" t="s">
        <v>114</v>
      </c>
      <c r="C2" t="s">
        <v>202</v>
      </c>
      <c r="E2" t="s">
        <v>16</v>
      </c>
      <c r="G2" t="s">
        <v>212</v>
      </c>
    </row>
    <row r="3" spans="1:7" x14ac:dyDescent="0.25">
      <c r="A3" t="s">
        <v>196</v>
      </c>
      <c r="C3" t="s">
        <v>201</v>
      </c>
      <c r="E3" t="s">
        <v>25</v>
      </c>
      <c r="G3" t="s">
        <v>214</v>
      </c>
    </row>
    <row r="4" spans="1:7" x14ac:dyDescent="0.25">
      <c r="A4" t="s">
        <v>112</v>
      </c>
      <c r="C4" t="s">
        <v>200</v>
      </c>
      <c r="G4" t="s">
        <v>53</v>
      </c>
    </row>
    <row r="5" spans="1:7" x14ac:dyDescent="0.25">
      <c r="A5" t="s">
        <v>34</v>
      </c>
      <c r="C5" t="s">
        <v>198</v>
      </c>
      <c r="G5" t="s">
        <v>218</v>
      </c>
    </row>
    <row r="6" spans="1:7" x14ac:dyDescent="0.25">
      <c r="A6" t="s">
        <v>199</v>
      </c>
      <c r="C6" t="s">
        <v>37</v>
      </c>
      <c r="G6" t="s">
        <v>220</v>
      </c>
    </row>
    <row r="7" spans="1:7" x14ac:dyDescent="0.25">
      <c r="C7" t="s">
        <v>197</v>
      </c>
    </row>
    <row r="8" spans="1:7" x14ac:dyDescent="0.25">
      <c r="C8" t="s">
        <v>195</v>
      </c>
    </row>
    <row r="13" spans="1:7" ht="30" x14ac:dyDescent="0.25">
      <c r="A13" t="s">
        <v>55</v>
      </c>
      <c r="C13" t="s">
        <v>1488</v>
      </c>
      <c r="E13" s="1" t="s">
        <v>1489</v>
      </c>
      <c r="G13" t="s">
        <v>209</v>
      </c>
    </row>
    <row r="14" spans="1:7" x14ac:dyDescent="0.25">
      <c r="A14" t="s">
        <v>56</v>
      </c>
      <c r="C14" t="s">
        <v>63</v>
      </c>
      <c r="E14" t="s">
        <v>1490</v>
      </c>
      <c r="G14" t="s">
        <v>210</v>
      </c>
    </row>
    <row r="15" spans="1:7" x14ac:dyDescent="0.25">
      <c r="A15" t="s">
        <v>224</v>
      </c>
      <c r="C15" t="s">
        <v>230</v>
      </c>
      <c r="E15" t="s">
        <v>1491</v>
      </c>
      <c r="G15" t="s">
        <v>49</v>
      </c>
    </row>
    <row r="16" spans="1:7" x14ac:dyDescent="0.25">
      <c r="A16" t="s">
        <v>225</v>
      </c>
      <c r="C16" t="s">
        <v>231</v>
      </c>
      <c r="E16" t="s">
        <v>1492</v>
      </c>
      <c r="G16" t="s">
        <v>215</v>
      </c>
    </row>
    <row r="17" spans="1:7" x14ac:dyDescent="0.25">
      <c r="A17" t="s">
        <v>227</v>
      </c>
      <c r="E17" t="s">
        <v>1493</v>
      </c>
      <c r="G17" t="s">
        <v>47</v>
      </c>
    </row>
    <row r="18" spans="1:7" x14ac:dyDescent="0.25">
      <c r="A18" t="s">
        <v>229</v>
      </c>
    </row>
    <row r="22" spans="1:7" ht="30" x14ac:dyDescent="0.25">
      <c r="A22" t="s">
        <v>207</v>
      </c>
      <c r="C22" s="1" t="s">
        <v>1494</v>
      </c>
      <c r="E22" t="s">
        <v>239</v>
      </c>
      <c r="G22" t="s">
        <v>1495</v>
      </c>
    </row>
    <row r="23" spans="1:7" x14ac:dyDescent="0.25">
      <c r="A23" t="s">
        <v>211</v>
      </c>
      <c r="C23" t="s">
        <v>223</v>
      </c>
      <c r="E23" t="s">
        <v>240</v>
      </c>
      <c r="G23" t="s">
        <v>1496</v>
      </c>
    </row>
    <row r="24" spans="1:7" x14ac:dyDescent="0.25">
      <c r="A24" t="s">
        <v>213</v>
      </c>
      <c r="C24" t="s">
        <v>61</v>
      </c>
      <c r="E24" t="s">
        <v>75</v>
      </c>
      <c r="G24" t="s">
        <v>1497</v>
      </c>
    </row>
    <row r="25" spans="1:7" x14ac:dyDescent="0.25">
      <c r="A25" t="s">
        <v>216</v>
      </c>
      <c r="C25" t="s">
        <v>226</v>
      </c>
      <c r="E25" t="s">
        <v>241</v>
      </c>
      <c r="G25" t="s">
        <v>229</v>
      </c>
    </row>
    <row r="26" spans="1:7" x14ac:dyDescent="0.25">
      <c r="A26" t="s">
        <v>217</v>
      </c>
      <c r="C26" t="s">
        <v>228</v>
      </c>
      <c r="E26" t="s">
        <v>49</v>
      </c>
    </row>
    <row r="27" spans="1:7" x14ac:dyDescent="0.25">
      <c r="A27" t="s">
        <v>219</v>
      </c>
      <c r="C27" t="s">
        <v>59</v>
      </c>
      <c r="E27" t="s">
        <v>242</v>
      </c>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D2B50-7700-41F4-B22C-408E3066AE33}">
  <sheetPr codeName="Hoja17"/>
  <dimension ref="A6:I170"/>
  <sheetViews>
    <sheetView showGridLines="0" topLeftCell="A10" workbookViewId="0">
      <selection activeCell="B128" sqref="B128"/>
    </sheetView>
  </sheetViews>
  <sheetFormatPr baseColWidth="10" defaultColWidth="11.42578125" defaultRowHeight="15" x14ac:dyDescent="0.25"/>
  <cols>
    <col min="2" max="2" width="25.42578125" customWidth="1"/>
    <col min="4" max="4" width="34" customWidth="1"/>
  </cols>
  <sheetData>
    <row r="6" spans="1:5" ht="15" customHeight="1" x14ac:dyDescent="0.25">
      <c r="A6" s="295" t="s">
        <v>1498</v>
      </c>
      <c r="B6" s="296"/>
      <c r="C6" s="296"/>
      <c r="D6" s="296"/>
      <c r="E6" s="296"/>
    </row>
    <row r="7" spans="1:5" x14ac:dyDescent="0.25">
      <c r="A7" s="295"/>
      <c r="B7" s="296"/>
      <c r="C7" s="296"/>
      <c r="D7" s="296"/>
      <c r="E7" s="296"/>
    </row>
    <row r="8" spans="1:5" x14ac:dyDescent="0.25">
      <c r="A8" s="297" t="s">
        <v>1499</v>
      </c>
      <c r="B8" s="297"/>
      <c r="C8" s="297"/>
      <c r="D8" s="297"/>
      <c r="E8" s="297"/>
    </row>
    <row r="9" spans="1:5" x14ac:dyDescent="0.25">
      <c r="A9" s="153"/>
      <c r="B9" s="153"/>
      <c r="C9" s="153"/>
      <c r="D9" s="153"/>
      <c r="E9" s="153"/>
    </row>
    <row r="10" spans="1:5" x14ac:dyDescent="0.25">
      <c r="A10" s="153"/>
      <c r="B10" s="153"/>
      <c r="C10" s="153"/>
      <c r="D10" s="153"/>
      <c r="E10" s="153"/>
    </row>
    <row r="11" spans="1:5" x14ac:dyDescent="0.25">
      <c r="A11" s="154" t="s">
        <v>1500</v>
      </c>
      <c r="B11" s="154" t="s">
        <v>1501</v>
      </c>
      <c r="C11" s="154" t="s">
        <v>1502</v>
      </c>
      <c r="D11" s="154" t="s">
        <v>1503</v>
      </c>
      <c r="E11" s="155" t="s">
        <v>1504</v>
      </c>
    </row>
    <row r="12" spans="1:5" x14ac:dyDescent="0.25">
      <c r="A12" s="156" t="s">
        <v>1505</v>
      </c>
      <c r="B12" s="156" t="s">
        <v>1506</v>
      </c>
      <c r="C12" s="156" t="s">
        <v>1507</v>
      </c>
      <c r="D12" s="156" t="s">
        <v>1508</v>
      </c>
      <c r="E12" s="157">
        <v>36424653</v>
      </c>
    </row>
    <row r="13" spans="1:5" x14ac:dyDescent="0.25">
      <c r="A13" t="s">
        <v>1505</v>
      </c>
      <c r="B13" t="s">
        <v>1506</v>
      </c>
      <c r="C13" t="s">
        <v>1507</v>
      </c>
      <c r="D13" t="s">
        <v>1509</v>
      </c>
      <c r="E13" s="75">
        <v>11833841</v>
      </c>
    </row>
    <row r="14" spans="1:5" x14ac:dyDescent="0.25">
      <c r="A14" t="s">
        <v>1505</v>
      </c>
      <c r="B14" t="s">
        <v>1506</v>
      </c>
      <c r="C14" t="s">
        <v>1507</v>
      </c>
      <c r="D14" t="s">
        <v>1510</v>
      </c>
      <c r="E14" s="75">
        <v>48258494</v>
      </c>
    </row>
    <row r="15" spans="1:5" x14ac:dyDescent="0.25">
      <c r="A15" t="s">
        <v>1505</v>
      </c>
      <c r="B15" t="s">
        <v>1506</v>
      </c>
      <c r="C15" t="s">
        <v>1511</v>
      </c>
      <c r="D15" t="s">
        <v>1508</v>
      </c>
      <c r="E15" s="75">
        <v>37425856</v>
      </c>
    </row>
    <row r="16" spans="1:5" x14ac:dyDescent="0.25">
      <c r="A16" t="s">
        <v>1505</v>
      </c>
      <c r="B16" t="s">
        <v>1506</v>
      </c>
      <c r="C16" t="s">
        <v>1511</v>
      </c>
      <c r="D16" t="s">
        <v>1509</v>
      </c>
      <c r="E16" s="75">
        <v>11969822</v>
      </c>
    </row>
    <row r="17" spans="1:9" x14ac:dyDescent="0.25">
      <c r="A17" t="s">
        <v>1505</v>
      </c>
      <c r="B17" t="s">
        <v>1506</v>
      </c>
      <c r="C17" t="s">
        <v>1511</v>
      </c>
      <c r="D17" t="s">
        <v>1510</v>
      </c>
      <c r="E17" s="75">
        <v>49395678</v>
      </c>
      <c r="F17" s="158">
        <f>+E17/E14-1</f>
        <v>2.3564431994085755E-2</v>
      </c>
    </row>
    <row r="18" spans="1:9" x14ac:dyDescent="0.25">
      <c r="A18" t="s">
        <v>1505</v>
      </c>
      <c r="B18" t="s">
        <v>1506</v>
      </c>
      <c r="C18" t="s">
        <v>1512</v>
      </c>
      <c r="D18" t="s">
        <v>1508</v>
      </c>
      <c r="E18" s="75">
        <v>38293939</v>
      </c>
    </row>
    <row r="19" spans="1:9" x14ac:dyDescent="0.25">
      <c r="A19" t="s">
        <v>1505</v>
      </c>
      <c r="B19" t="s">
        <v>1506</v>
      </c>
      <c r="C19" t="s">
        <v>1512</v>
      </c>
      <c r="D19" t="s">
        <v>1509</v>
      </c>
      <c r="E19" s="75">
        <v>12078485</v>
      </c>
    </row>
    <row r="20" spans="1:9" x14ac:dyDescent="0.25">
      <c r="A20" t="s">
        <v>1505</v>
      </c>
      <c r="B20" t="s">
        <v>1506</v>
      </c>
      <c r="C20" t="s">
        <v>1512</v>
      </c>
      <c r="D20" t="s">
        <v>1510</v>
      </c>
      <c r="E20" s="75">
        <v>50372424</v>
      </c>
      <c r="F20" s="161">
        <f>+E20/E17-1</f>
        <v>1.9773916252349144E-2</v>
      </c>
      <c r="G20" t="s">
        <v>1513</v>
      </c>
      <c r="I20" s="13">
        <f>ROUNDUP(AVERAGE(F23:F95),3)</f>
        <v>8.0000000000000002E-3</v>
      </c>
    </row>
    <row r="21" spans="1:9" x14ac:dyDescent="0.25">
      <c r="A21" t="s">
        <v>1505</v>
      </c>
      <c r="B21" t="s">
        <v>1506</v>
      </c>
      <c r="C21" t="s">
        <v>1514</v>
      </c>
      <c r="D21" t="s">
        <v>1508</v>
      </c>
      <c r="E21" s="75">
        <v>38898851</v>
      </c>
      <c r="F21" s="162"/>
    </row>
    <row r="22" spans="1:9" x14ac:dyDescent="0.25">
      <c r="A22" t="s">
        <v>1505</v>
      </c>
      <c r="B22" t="s">
        <v>1506</v>
      </c>
      <c r="C22" t="s">
        <v>1514</v>
      </c>
      <c r="D22" t="s">
        <v>1509</v>
      </c>
      <c r="E22" s="75">
        <v>12150647</v>
      </c>
      <c r="F22" s="162"/>
    </row>
    <row r="23" spans="1:9" x14ac:dyDescent="0.25">
      <c r="A23" t="s">
        <v>1505</v>
      </c>
      <c r="B23" t="s">
        <v>1506</v>
      </c>
      <c r="C23" t="s">
        <v>1514</v>
      </c>
      <c r="D23" t="s">
        <v>1510</v>
      </c>
      <c r="E23" s="75">
        <v>51049498</v>
      </c>
      <c r="F23" s="161">
        <f>+E23/E20-1</f>
        <v>1.3441362281870761E-2</v>
      </c>
    </row>
    <row r="24" spans="1:9" x14ac:dyDescent="0.25">
      <c r="A24" t="s">
        <v>1505</v>
      </c>
      <c r="B24" t="s">
        <v>1506</v>
      </c>
      <c r="C24" t="s">
        <v>1515</v>
      </c>
      <c r="D24" t="s">
        <v>1508</v>
      </c>
      <c r="E24" s="75">
        <v>39388690</v>
      </c>
      <c r="F24" s="162"/>
    </row>
    <row r="25" spans="1:9" x14ac:dyDescent="0.25">
      <c r="A25" t="s">
        <v>1505</v>
      </c>
      <c r="B25" t="s">
        <v>1506</v>
      </c>
      <c r="C25" t="s">
        <v>1515</v>
      </c>
      <c r="D25" t="s">
        <v>1509</v>
      </c>
      <c r="E25" s="75">
        <v>12220784</v>
      </c>
      <c r="F25" s="162"/>
    </row>
    <row r="26" spans="1:9" x14ac:dyDescent="0.25">
      <c r="A26" t="s">
        <v>1505</v>
      </c>
      <c r="B26" t="s">
        <v>1506</v>
      </c>
      <c r="C26" t="s">
        <v>1515</v>
      </c>
      <c r="D26" t="s">
        <v>1510</v>
      </c>
      <c r="E26" s="75">
        <v>51609474</v>
      </c>
      <c r="F26" s="161">
        <f>+E26/E23-1</f>
        <v>1.0969275349191454E-2</v>
      </c>
    </row>
    <row r="27" spans="1:9" x14ac:dyDescent="0.25">
      <c r="A27" t="s">
        <v>1505</v>
      </c>
      <c r="B27" t="s">
        <v>1506</v>
      </c>
      <c r="C27" t="s">
        <v>1516</v>
      </c>
      <c r="D27" t="s">
        <v>1508</v>
      </c>
      <c r="E27" s="75">
        <v>39862623</v>
      </c>
      <c r="F27" s="162"/>
    </row>
    <row r="28" spans="1:9" x14ac:dyDescent="0.25">
      <c r="A28" t="s">
        <v>1505</v>
      </c>
      <c r="B28" t="s">
        <v>1506</v>
      </c>
      <c r="C28" t="s">
        <v>1516</v>
      </c>
      <c r="D28" t="s">
        <v>1509</v>
      </c>
      <c r="E28" s="75">
        <v>12293631</v>
      </c>
      <c r="F28" s="162"/>
    </row>
    <row r="29" spans="1:9" x14ac:dyDescent="0.25">
      <c r="A29" t="s">
        <v>1505</v>
      </c>
      <c r="B29" t="s">
        <v>1506</v>
      </c>
      <c r="C29" t="s">
        <v>1516</v>
      </c>
      <c r="D29" t="s">
        <v>1510</v>
      </c>
      <c r="E29" s="75">
        <v>52156254</v>
      </c>
      <c r="F29" s="161">
        <f>+E29/E26-1</f>
        <v>1.0594566416235907E-2</v>
      </c>
    </row>
    <row r="30" spans="1:9" x14ac:dyDescent="0.25">
      <c r="A30" t="s">
        <v>1505</v>
      </c>
      <c r="B30" t="s">
        <v>1506</v>
      </c>
      <c r="C30" t="s">
        <v>1517</v>
      </c>
      <c r="D30" t="s">
        <v>1508</v>
      </c>
      <c r="E30" s="75">
        <v>40321112</v>
      </c>
      <c r="F30" s="162"/>
    </row>
    <row r="31" spans="1:9" x14ac:dyDescent="0.25">
      <c r="A31" t="s">
        <v>1505</v>
      </c>
      <c r="B31" t="s">
        <v>1506</v>
      </c>
      <c r="C31" t="s">
        <v>1517</v>
      </c>
      <c r="D31" t="s">
        <v>1509</v>
      </c>
      <c r="E31" s="75">
        <v>12370328</v>
      </c>
      <c r="F31" s="162"/>
    </row>
    <row r="32" spans="1:9" x14ac:dyDescent="0.25">
      <c r="A32" t="s">
        <v>1505</v>
      </c>
      <c r="B32" t="s">
        <v>1506</v>
      </c>
      <c r="C32" t="s">
        <v>1517</v>
      </c>
      <c r="D32" t="s">
        <v>1510</v>
      </c>
      <c r="E32" s="75">
        <v>52691440</v>
      </c>
      <c r="F32" s="161">
        <f>+E32/E29-1</f>
        <v>1.0261204725324102E-2</v>
      </c>
    </row>
    <row r="33" spans="1:6" x14ac:dyDescent="0.25">
      <c r="A33" t="s">
        <v>1505</v>
      </c>
      <c r="B33" t="s">
        <v>1506</v>
      </c>
      <c r="C33" t="s">
        <v>1518</v>
      </c>
      <c r="D33" t="s">
        <v>1508</v>
      </c>
      <c r="E33" s="75">
        <v>40764914</v>
      </c>
      <c r="F33" s="162"/>
    </row>
    <row r="34" spans="1:6" x14ac:dyDescent="0.25">
      <c r="A34" t="s">
        <v>1505</v>
      </c>
      <c r="B34" t="s">
        <v>1506</v>
      </c>
      <c r="C34" t="s">
        <v>1518</v>
      </c>
      <c r="D34" t="s">
        <v>1509</v>
      </c>
      <c r="E34" s="75">
        <v>12451678</v>
      </c>
      <c r="F34" s="162"/>
    </row>
    <row r="35" spans="1:6" x14ac:dyDescent="0.25">
      <c r="A35" t="s">
        <v>1505</v>
      </c>
      <c r="B35" t="s">
        <v>1506</v>
      </c>
      <c r="C35" t="s">
        <v>1518</v>
      </c>
      <c r="D35" t="s">
        <v>1510</v>
      </c>
      <c r="E35" s="75">
        <v>53216592</v>
      </c>
      <c r="F35" s="161">
        <f>+E35/E32-1</f>
        <v>9.9665524419145779E-3</v>
      </c>
    </row>
    <row r="36" spans="1:6" x14ac:dyDescent="0.25">
      <c r="A36" t="s">
        <v>1505</v>
      </c>
      <c r="B36" t="s">
        <v>1506</v>
      </c>
      <c r="C36" t="s">
        <v>1519</v>
      </c>
      <c r="D36" t="s">
        <v>1508</v>
      </c>
      <c r="E36" s="75">
        <v>41194081</v>
      </c>
      <c r="F36" s="162"/>
    </row>
    <row r="37" spans="1:6" x14ac:dyDescent="0.25">
      <c r="A37" t="s">
        <v>1505</v>
      </c>
      <c r="B37" t="s">
        <v>1506</v>
      </c>
      <c r="C37" t="s">
        <v>1519</v>
      </c>
      <c r="D37" t="s">
        <v>1509</v>
      </c>
      <c r="E37" s="75">
        <v>12538334</v>
      </c>
      <c r="F37" s="162"/>
    </row>
    <row r="38" spans="1:6" x14ac:dyDescent="0.25">
      <c r="A38" t="s">
        <v>1505</v>
      </c>
      <c r="B38" t="s">
        <v>1506</v>
      </c>
      <c r="C38" t="s">
        <v>1519</v>
      </c>
      <c r="D38" t="s">
        <v>1510</v>
      </c>
      <c r="E38" s="75">
        <v>53732415</v>
      </c>
      <c r="F38" s="161">
        <f>+E38/E35-1</f>
        <v>9.6928980345076798E-3</v>
      </c>
    </row>
    <row r="39" spans="1:6" x14ac:dyDescent="0.25">
      <c r="A39" t="s">
        <v>1505</v>
      </c>
      <c r="B39" t="s">
        <v>1506</v>
      </c>
      <c r="C39" t="s">
        <v>1520</v>
      </c>
      <c r="D39" t="s">
        <v>1508</v>
      </c>
      <c r="E39" s="75">
        <v>41607327</v>
      </c>
      <c r="F39" s="162"/>
    </row>
    <row r="40" spans="1:6" x14ac:dyDescent="0.25">
      <c r="A40" t="s">
        <v>1505</v>
      </c>
      <c r="B40" t="s">
        <v>1506</v>
      </c>
      <c r="C40" t="s">
        <v>1520</v>
      </c>
      <c r="D40" t="s">
        <v>1509</v>
      </c>
      <c r="E40" s="75">
        <v>12630427</v>
      </c>
      <c r="F40" s="162"/>
    </row>
    <row r="41" spans="1:6" x14ac:dyDescent="0.25">
      <c r="A41" t="s">
        <v>1505</v>
      </c>
      <c r="B41" t="s">
        <v>1506</v>
      </c>
      <c r="C41" t="s">
        <v>1520</v>
      </c>
      <c r="D41" t="s">
        <v>1510</v>
      </c>
      <c r="E41" s="75">
        <v>54237754</v>
      </c>
      <c r="F41" s="161">
        <f>+E41/E38-1</f>
        <v>9.4047326925470465E-3</v>
      </c>
    </row>
    <row r="42" spans="1:6" x14ac:dyDescent="0.25">
      <c r="A42" t="s">
        <v>1505</v>
      </c>
      <c r="B42" t="s">
        <v>1506</v>
      </c>
      <c r="C42" t="s">
        <v>1521</v>
      </c>
      <c r="D42" t="s">
        <v>1508</v>
      </c>
      <c r="E42" s="75">
        <v>42003061</v>
      </c>
      <c r="F42" s="162"/>
    </row>
    <row r="43" spans="1:6" x14ac:dyDescent="0.25">
      <c r="A43" t="s">
        <v>1505</v>
      </c>
      <c r="B43" t="s">
        <v>1506</v>
      </c>
      <c r="C43" t="s">
        <v>1521</v>
      </c>
      <c r="D43" t="s">
        <v>1509</v>
      </c>
      <c r="E43" s="75">
        <v>12728125</v>
      </c>
      <c r="F43" s="162"/>
    </row>
    <row r="44" spans="1:6" x14ac:dyDescent="0.25">
      <c r="A44" t="s">
        <v>1505</v>
      </c>
      <c r="B44" t="s">
        <v>1506</v>
      </c>
      <c r="C44" t="s">
        <v>1521</v>
      </c>
      <c r="D44" t="s">
        <v>1510</v>
      </c>
      <c r="E44" s="75">
        <v>54731186</v>
      </c>
      <c r="F44" s="161">
        <f>+E44/E41-1</f>
        <v>9.0975743575223422E-3</v>
      </c>
    </row>
    <row r="45" spans="1:6" x14ac:dyDescent="0.25">
      <c r="A45" t="s">
        <v>1505</v>
      </c>
      <c r="B45" t="s">
        <v>1506</v>
      </c>
      <c r="C45" t="s">
        <v>1522</v>
      </c>
      <c r="D45" t="s">
        <v>1508</v>
      </c>
      <c r="E45" s="75">
        <v>42379593</v>
      </c>
      <c r="F45" s="162"/>
    </row>
    <row r="46" spans="1:6" x14ac:dyDescent="0.25">
      <c r="A46" t="s">
        <v>1505</v>
      </c>
      <c r="B46" t="s">
        <v>1506</v>
      </c>
      <c r="C46" t="s">
        <v>1522</v>
      </c>
      <c r="D46" t="s">
        <v>1509</v>
      </c>
      <c r="E46" s="75">
        <v>12831665</v>
      </c>
      <c r="F46" s="162"/>
    </row>
    <row r="47" spans="1:6" x14ac:dyDescent="0.25">
      <c r="A47" t="s">
        <v>1505</v>
      </c>
      <c r="B47" t="s">
        <v>1506</v>
      </c>
      <c r="C47" t="s">
        <v>1522</v>
      </c>
      <c r="D47" t="s">
        <v>1510</v>
      </c>
      <c r="E47" s="75">
        <v>55211258</v>
      </c>
      <c r="F47" s="161">
        <f>+E47/E44-1</f>
        <v>8.7714525316517911E-3</v>
      </c>
    </row>
    <row r="48" spans="1:6" x14ac:dyDescent="0.25">
      <c r="A48" t="s">
        <v>1505</v>
      </c>
      <c r="B48" t="s">
        <v>1506</v>
      </c>
      <c r="C48" t="s">
        <v>1523</v>
      </c>
      <c r="D48" t="s">
        <v>1508</v>
      </c>
      <c r="E48" s="75">
        <v>42736325</v>
      </c>
      <c r="F48" s="162"/>
    </row>
    <row r="49" spans="1:6" x14ac:dyDescent="0.25">
      <c r="A49" t="s">
        <v>1505</v>
      </c>
      <c r="B49" t="s">
        <v>1506</v>
      </c>
      <c r="C49" t="s">
        <v>1523</v>
      </c>
      <c r="D49" t="s">
        <v>1509</v>
      </c>
      <c r="E49" s="75">
        <v>12941758</v>
      </c>
      <c r="F49" s="162"/>
    </row>
    <row r="50" spans="1:6" x14ac:dyDescent="0.25">
      <c r="A50" t="s">
        <v>1505</v>
      </c>
      <c r="B50" t="s">
        <v>1506</v>
      </c>
      <c r="C50" t="s">
        <v>1523</v>
      </c>
      <c r="D50" t="s">
        <v>1510</v>
      </c>
      <c r="E50" s="75">
        <v>55678083</v>
      </c>
      <c r="F50" s="161">
        <f>+E50/E47-1</f>
        <v>8.455250195530839E-3</v>
      </c>
    </row>
    <row r="51" spans="1:6" x14ac:dyDescent="0.25">
      <c r="A51" t="s">
        <v>1505</v>
      </c>
      <c r="B51" t="s">
        <v>1506</v>
      </c>
      <c r="C51" t="s">
        <v>1524</v>
      </c>
      <c r="D51" t="s">
        <v>1508</v>
      </c>
      <c r="E51" s="75">
        <v>43077006</v>
      </c>
      <c r="F51" s="162"/>
    </row>
    <row r="52" spans="1:6" x14ac:dyDescent="0.25">
      <c r="A52" t="s">
        <v>1505</v>
      </c>
      <c r="B52" t="s">
        <v>1506</v>
      </c>
      <c r="C52" t="s">
        <v>1524</v>
      </c>
      <c r="D52" t="s">
        <v>1509</v>
      </c>
      <c r="E52" s="75">
        <v>13054836</v>
      </c>
      <c r="F52" s="162"/>
    </row>
    <row r="53" spans="1:6" x14ac:dyDescent="0.25">
      <c r="A53" t="s">
        <v>1505</v>
      </c>
      <c r="B53" t="s">
        <v>1506</v>
      </c>
      <c r="C53" t="s">
        <v>1524</v>
      </c>
      <c r="D53" t="s">
        <v>1510</v>
      </c>
      <c r="E53" s="75">
        <v>56131842</v>
      </c>
      <c r="F53" s="161">
        <f>+E53/E50-1</f>
        <v>8.1496879122078258E-3</v>
      </c>
    </row>
    <row r="54" spans="1:6" x14ac:dyDescent="0.25">
      <c r="A54" t="s">
        <v>1505</v>
      </c>
      <c r="B54" t="s">
        <v>1506</v>
      </c>
      <c r="C54" t="s">
        <v>1525</v>
      </c>
      <c r="D54" t="s">
        <v>1508</v>
      </c>
      <c r="E54" s="75">
        <v>43405082</v>
      </c>
      <c r="F54" s="162"/>
    </row>
    <row r="55" spans="1:6" x14ac:dyDescent="0.25">
      <c r="A55" t="s">
        <v>1505</v>
      </c>
      <c r="B55" t="s">
        <v>1506</v>
      </c>
      <c r="C55" t="s">
        <v>1525</v>
      </c>
      <c r="D55" t="s">
        <v>1509</v>
      </c>
      <c r="E55" s="75">
        <v>13166615</v>
      </c>
      <c r="F55" s="162"/>
    </row>
    <row r="56" spans="1:6" x14ac:dyDescent="0.25">
      <c r="A56" t="s">
        <v>1505</v>
      </c>
      <c r="B56" t="s">
        <v>1506</v>
      </c>
      <c r="C56" t="s">
        <v>1525</v>
      </c>
      <c r="D56" t="s">
        <v>1510</v>
      </c>
      <c r="E56" s="75">
        <v>56571697</v>
      </c>
      <c r="F56" s="161">
        <f>+E56/E53-1</f>
        <v>7.8361048618358353E-3</v>
      </c>
    </row>
    <row r="57" spans="1:6" x14ac:dyDescent="0.25">
      <c r="A57" t="s">
        <v>1505</v>
      </c>
      <c r="B57" t="s">
        <v>1506</v>
      </c>
      <c r="C57" t="s">
        <v>1526</v>
      </c>
      <c r="D57" t="s">
        <v>1508</v>
      </c>
      <c r="E57" s="75">
        <v>43720264</v>
      </c>
      <c r="F57" s="162"/>
    </row>
    <row r="58" spans="1:6" x14ac:dyDescent="0.25">
      <c r="A58" t="s">
        <v>1505</v>
      </c>
      <c r="B58" t="s">
        <v>1506</v>
      </c>
      <c r="C58" t="s">
        <v>1526</v>
      </c>
      <c r="D58" t="s">
        <v>1509</v>
      </c>
      <c r="E58" s="75">
        <v>13276885</v>
      </c>
      <c r="F58" s="162"/>
    </row>
    <row r="59" spans="1:6" x14ac:dyDescent="0.25">
      <c r="A59" t="s">
        <v>1505</v>
      </c>
      <c r="B59" t="s">
        <v>1506</v>
      </c>
      <c r="C59" t="s">
        <v>1526</v>
      </c>
      <c r="D59" t="s">
        <v>1510</v>
      </c>
      <c r="E59" s="75">
        <v>56997149</v>
      </c>
      <c r="F59" s="161">
        <f>+E59/E56-1</f>
        <v>7.5205804768416762E-3</v>
      </c>
    </row>
    <row r="60" spans="1:6" x14ac:dyDescent="0.25">
      <c r="A60" t="s">
        <v>1505</v>
      </c>
      <c r="B60" t="s">
        <v>1506</v>
      </c>
      <c r="C60" t="s">
        <v>1527</v>
      </c>
      <c r="D60" t="s">
        <v>1508</v>
      </c>
      <c r="E60" s="75">
        <v>44022283</v>
      </c>
      <c r="F60" s="162"/>
    </row>
    <row r="61" spans="1:6" x14ac:dyDescent="0.25">
      <c r="A61" t="s">
        <v>1505</v>
      </c>
      <c r="B61" t="s">
        <v>1506</v>
      </c>
      <c r="C61" t="s">
        <v>1527</v>
      </c>
      <c r="D61" t="s">
        <v>1509</v>
      </c>
      <c r="E61" s="75">
        <v>13385476</v>
      </c>
      <c r="F61" s="162"/>
    </row>
    <row r="62" spans="1:6" x14ac:dyDescent="0.25">
      <c r="A62" t="s">
        <v>1505</v>
      </c>
      <c r="B62" t="s">
        <v>1506</v>
      </c>
      <c r="C62" t="s">
        <v>1527</v>
      </c>
      <c r="D62" t="s">
        <v>1510</v>
      </c>
      <c r="E62" s="75">
        <v>57407759</v>
      </c>
      <c r="F62" s="161">
        <f>+E62/E59-1</f>
        <v>7.2040445391399199E-3</v>
      </c>
    </row>
    <row r="63" spans="1:6" x14ac:dyDescent="0.25">
      <c r="A63" t="s">
        <v>1505</v>
      </c>
      <c r="B63" t="s">
        <v>1506</v>
      </c>
      <c r="C63" t="s">
        <v>1528</v>
      </c>
      <c r="D63" t="s">
        <v>1508</v>
      </c>
      <c r="E63" s="75">
        <v>44311552</v>
      </c>
      <c r="F63" s="162"/>
    </row>
    <row r="64" spans="1:6" x14ac:dyDescent="0.25">
      <c r="A64" t="s">
        <v>1505</v>
      </c>
      <c r="B64" t="s">
        <v>1506</v>
      </c>
      <c r="C64" t="s">
        <v>1528</v>
      </c>
      <c r="D64" t="s">
        <v>1509</v>
      </c>
      <c r="E64" s="75">
        <v>13492595</v>
      </c>
      <c r="F64" s="162"/>
    </row>
    <row r="65" spans="1:6" x14ac:dyDescent="0.25">
      <c r="A65" t="s">
        <v>1505</v>
      </c>
      <c r="B65" t="s">
        <v>1506</v>
      </c>
      <c r="C65" t="s">
        <v>1528</v>
      </c>
      <c r="D65" t="s">
        <v>1510</v>
      </c>
      <c r="E65" s="75">
        <v>57804147</v>
      </c>
      <c r="F65" s="161">
        <f>+E65/E62-1</f>
        <v>6.90478093736413E-3</v>
      </c>
    </row>
    <row r="66" spans="1:6" x14ac:dyDescent="0.25">
      <c r="A66" t="s">
        <v>1505</v>
      </c>
      <c r="B66" t="s">
        <v>1506</v>
      </c>
      <c r="C66" t="s">
        <v>1529</v>
      </c>
      <c r="D66" t="s">
        <v>1508</v>
      </c>
      <c r="E66" s="75">
        <v>44586719</v>
      </c>
      <c r="F66" s="162"/>
    </row>
    <row r="67" spans="1:6" x14ac:dyDescent="0.25">
      <c r="A67" t="s">
        <v>1505</v>
      </c>
      <c r="B67" t="s">
        <v>1506</v>
      </c>
      <c r="C67" t="s">
        <v>1529</v>
      </c>
      <c r="D67" t="s">
        <v>1509</v>
      </c>
      <c r="E67" s="75">
        <v>13599699</v>
      </c>
      <c r="F67" s="162"/>
    </row>
    <row r="68" spans="1:6" x14ac:dyDescent="0.25">
      <c r="A68" t="s">
        <v>1505</v>
      </c>
      <c r="B68" t="s">
        <v>1506</v>
      </c>
      <c r="C68" t="s">
        <v>1529</v>
      </c>
      <c r="D68" t="s">
        <v>1510</v>
      </c>
      <c r="E68" s="75">
        <v>58186418</v>
      </c>
      <c r="F68" s="161">
        <f>+E68/E65-1</f>
        <v>6.6132106404062085E-3</v>
      </c>
    </row>
    <row r="69" spans="1:6" x14ac:dyDescent="0.25">
      <c r="A69" t="s">
        <v>1505</v>
      </c>
      <c r="B69" t="s">
        <v>1506</v>
      </c>
      <c r="C69" t="s">
        <v>1530</v>
      </c>
      <c r="D69" t="s">
        <v>1508</v>
      </c>
      <c r="E69" s="75">
        <v>44849820</v>
      </c>
      <c r="F69" s="162"/>
    </row>
    <row r="70" spans="1:6" x14ac:dyDescent="0.25">
      <c r="A70" t="s">
        <v>1505</v>
      </c>
      <c r="B70" t="s">
        <v>1506</v>
      </c>
      <c r="C70" t="s">
        <v>1530</v>
      </c>
      <c r="D70" t="s">
        <v>1509</v>
      </c>
      <c r="E70" s="75">
        <v>13703941</v>
      </c>
      <c r="F70" s="162"/>
    </row>
    <row r="71" spans="1:6" x14ac:dyDescent="0.25">
      <c r="A71" t="s">
        <v>1505</v>
      </c>
      <c r="B71" t="s">
        <v>1506</v>
      </c>
      <c r="C71" t="s">
        <v>1530</v>
      </c>
      <c r="D71" t="s">
        <v>1510</v>
      </c>
      <c r="E71" s="75">
        <v>58553761</v>
      </c>
      <c r="F71" s="161">
        <f>+E71/E68-1</f>
        <v>6.3132086941664056E-3</v>
      </c>
    </row>
    <row r="72" spans="1:6" x14ac:dyDescent="0.25">
      <c r="A72" t="s">
        <v>1505</v>
      </c>
      <c r="B72" t="s">
        <v>1506</v>
      </c>
      <c r="C72" t="s">
        <v>1531</v>
      </c>
      <c r="D72" t="s">
        <v>1508</v>
      </c>
      <c r="E72" s="75">
        <v>45099430</v>
      </c>
      <c r="F72" s="162"/>
    </row>
    <row r="73" spans="1:6" x14ac:dyDescent="0.25">
      <c r="A73" t="s">
        <v>1505</v>
      </c>
      <c r="B73" t="s">
        <v>1506</v>
      </c>
      <c r="C73" t="s">
        <v>1531</v>
      </c>
      <c r="D73" t="s">
        <v>1509</v>
      </c>
      <c r="E73" s="75">
        <v>13806476</v>
      </c>
      <c r="F73" s="162"/>
    </row>
    <row r="74" spans="1:6" x14ac:dyDescent="0.25">
      <c r="A74" t="s">
        <v>1505</v>
      </c>
      <c r="B74" t="s">
        <v>1506</v>
      </c>
      <c r="C74" t="s">
        <v>1531</v>
      </c>
      <c r="D74" t="s">
        <v>1510</v>
      </c>
      <c r="E74" s="75">
        <v>58905906</v>
      </c>
      <c r="F74" s="161">
        <f>+E74/E71-1</f>
        <v>6.0140457928909985E-3</v>
      </c>
    </row>
    <row r="75" spans="1:6" x14ac:dyDescent="0.25">
      <c r="A75" t="s">
        <v>1505</v>
      </c>
      <c r="B75" t="s">
        <v>1506</v>
      </c>
      <c r="C75" t="s">
        <v>1532</v>
      </c>
      <c r="D75" t="s">
        <v>1508</v>
      </c>
      <c r="E75" s="75">
        <v>45335457</v>
      </c>
      <c r="F75" s="162"/>
    </row>
    <row r="76" spans="1:6" x14ac:dyDescent="0.25">
      <c r="A76" t="s">
        <v>1505</v>
      </c>
      <c r="B76" t="s">
        <v>1506</v>
      </c>
      <c r="C76" t="s">
        <v>1532</v>
      </c>
      <c r="D76" t="s">
        <v>1509</v>
      </c>
      <c r="E76" s="75">
        <v>13907158</v>
      </c>
      <c r="F76" s="162"/>
    </row>
    <row r="77" spans="1:6" x14ac:dyDescent="0.25">
      <c r="A77" t="s">
        <v>1505</v>
      </c>
      <c r="B77" t="s">
        <v>1506</v>
      </c>
      <c r="C77" t="s">
        <v>1532</v>
      </c>
      <c r="D77" t="s">
        <v>1510</v>
      </c>
      <c r="E77" s="75">
        <v>59242615</v>
      </c>
      <c r="F77" s="161">
        <f>+E77/E74-1</f>
        <v>5.7160482346201302E-3</v>
      </c>
    </row>
    <row r="78" spans="1:6" x14ac:dyDescent="0.25">
      <c r="A78" t="s">
        <v>1505</v>
      </c>
      <c r="B78" t="s">
        <v>1506</v>
      </c>
      <c r="C78" t="s">
        <v>1533</v>
      </c>
      <c r="D78" t="s">
        <v>1508</v>
      </c>
      <c r="E78" s="75">
        <v>45558249</v>
      </c>
      <c r="F78" s="162"/>
    </row>
    <row r="79" spans="1:6" x14ac:dyDescent="0.25">
      <c r="A79" t="s">
        <v>1505</v>
      </c>
      <c r="B79" t="s">
        <v>1506</v>
      </c>
      <c r="C79" t="s">
        <v>1533</v>
      </c>
      <c r="D79" t="s">
        <v>1509</v>
      </c>
      <c r="E79" s="75">
        <v>14006148</v>
      </c>
      <c r="F79" s="162"/>
    </row>
    <row r="80" spans="1:6" x14ac:dyDescent="0.25">
      <c r="A80" t="s">
        <v>1505</v>
      </c>
      <c r="B80" t="s">
        <v>1506</v>
      </c>
      <c r="C80" t="s">
        <v>1533</v>
      </c>
      <c r="D80" t="s">
        <v>1510</v>
      </c>
      <c r="E80" s="75">
        <v>59564397</v>
      </c>
      <c r="F80" s="161">
        <f>+E80/E77-1</f>
        <v>5.4315968327867115E-3</v>
      </c>
    </row>
    <row r="81" spans="1:6" x14ac:dyDescent="0.25">
      <c r="A81" t="s">
        <v>1505</v>
      </c>
      <c r="B81" t="s">
        <v>1506</v>
      </c>
      <c r="C81" t="s">
        <v>1534</v>
      </c>
      <c r="D81" t="s">
        <v>1508</v>
      </c>
      <c r="E81" s="75">
        <v>45768129</v>
      </c>
      <c r="F81" s="162"/>
    </row>
    <row r="82" spans="1:6" x14ac:dyDescent="0.25">
      <c r="A82" t="s">
        <v>1505</v>
      </c>
      <c r="B82" t="s">
        <v>1506</v>
      </c>
      <c r="C82" t="s">
        <v>1534</v>
      </c>
      <c r="D82" t="s">
        <v>1509</v>
      </c>
      <c r="E82" s="75">
        <v>14103632</v>
      </c>
      <c r="F82" s="162"/>
    </row>
    <row r="83" spans="1:6" x14ac:dyDescent="0.25">
      <c r="A83" t="s">
        <v>1505</v>
      </c>
      <c r="B83" t="s">
        <v>1506</v>
      </c>
      <c r="C83" t="s">
        <v>1534</v>
      </c>
      <c r="D83" t="s">
        <v>1510</v>
      </c>
      <c r="E83" s="75">
        <v>59871761</v>
      </c>
      <c r="F83" s="161">
        <f>+E83/E80-1</f>
        <v>5.1601966187955206E-3</v>
      </c>
    </row>
    <row r="84" spans="1:6" x14ac:dyDescent="0.25">
      <c r="A84" t="s">
        <v>1505</v>
      </c>
      <c r="B84" t="s">
        <v>1506</v>
      </c>
      <c r="C84" t="s">
        <v>1535</v>
      </c>
      <c r="D84" t="s">
        <v>1508</v>
      </c>
      <c r="E84" s="75">
        <v>45965007</v>
      </c>
      <c r="F84" s="162"/>
    </row>
    <row r="85" spans="1:6" x14ac:dyDescent="0.25">
      <c r="A85" t="s">
        <v>1505</v>
      </c>
      <c r="B85" t="s">
        <v>1506</v>
      </c>
      <c r="C85" t="s">
        <v>1535</v>
      </c>
      <c r="D85" t="s">
        <v>1509</v>
      </c>
      <c r="E85" s="75">
        <v>14199517</v>
      </c>
      <c r="F85" s="162"/>
    </row>
    <row r="86" spans="1:6" x14ac:dyDescent="0.25">
      <c r="A86" t="s">
        <v>1505</v>
      </c>
      <c r="B86" t="s">
        <v>1506</v>
      </c>
      <c r="C86" t="s">
        <v>1535</v>
      </c>
      <c r="D86" t="s">
        <v>1510</v>
      </c>
      <c r="E86" s="75">
        <v>60164524</v>
      </c>
      <c r="F86" s="161">
        <f>+E86/E83-1</f>
        <v>4.8898344580177167E-3</v>
      </c>
    </row>
    <row r="87" spans="1:6" x14ac:dyDescent="0.25">
      <c r="A87" t="s">
        <v>1505</v>
      </c>
      <c r="B87" t="s">
        <v>1506</v>
      </c>
      <c r="C87" t="s">
        <v>1536</v>
      </c>
      <c r="D87" t="s">
        <v>1508</v>
      </c>
      <c r="E87" s="75">
        <v>46148856</v>
      </c>
      <c r="F87" s="162"/>
    </row>
    <row r="88" spans="1:6" x14ac:dyDescent="0.25">
      <c r="A88" t="s">
        <v>1505</v>
      </c>
      <c r="B88" t="s">
        <v>1506</v>
      </c>
      <c r="C88" t="s">
        <v>1536</v>
      </c>
      <c r="D88" t="s">
        <v>1509</v>
      </c>
      <c r="E88" s="75">
        <v>14293733</v>
      </c>
      <c r="F88" s="162"/>
    </row>
    <row r="89" spans="1:6" x14ac:dyDescent="0.25">
      <c r="A89" t="s">
        <v>1505</v>
      </c>
      <c r="B89" t="s">
        <v>1506</v>
      </c>
      <c r="C89" t="s">
        <v>1536</v>
      </c>
      <c r="D89" t="s">
        <v>1510</v>
      </c>
      <c r="E89" s="75">
        <v>60442589</v>
      </c>
      <c r="F89" s="161">
        <f>+E89/E86-1</f>
        <v>4.6217435377697846E-3</v>
      </c>
    </row>
    <row r="90" spans="1:6" x14ac:dyDescent="0.25">
      <c r="A90" t="s">
        <v>1505</v>
      </c>
      <c r="B90" t="s">
        <v>1506</v>
      </c>
      <c r="C90" t="s">
        <v>1537</v>
      </c>
      <c r="D90" t="s">
        <v>1508</v>
      </c>
      <c r="E90" s="75">
        <v>46319674</v>
      </c>
      <c r="F90" s="162"/>
    </row>
    <row r="91" spans="1:6" x14ac:dyDescent="0.25">
      <c r="A91" t="s">
        <v>1505</v>
      </c>
      <c r="B91" t="s">
        <v>1506</v>
      </c>
      <c r="C91" t="s">
        <v>1537</v>
      </c>
      <c r="D91" t="s">
        <v>1509</v>
      </c>
      <c r="E91" s="75">
        <v>14386257</v>
      </c>
      <c r="F91" s="162"/>
    </row>
    <row r="92" spans="1:6" x14ac:dyDescent="0.25">
      <c r="A92" t="s">
        <v>1505</v>
      </c>
      <c r="B92" t="s">
        <v>1506</v>
      </c>
      <c r="C92" t="s">
        <v>1537</v>
      </c>
      <c r="D92" t="s">
        <v>1510</v>
      </c>
      <c r="E92" s="75">
        <v>60705931</v>
      </c>
      <c r="F92" s="161">
        <f>+E92/E89-1</f>
        <v>4.3568947716650097E-3</v>
      </c>
    </row>
    <row r="93" spans="1:6" x14ac:dyDescent="0.25">
      <c r="A93" t="s">
        <v>1505</v>
      </c>
      <c r="B93" t="s">
        <v>1506</v>
      </c>
      <c r="C93" t="s">
        <v>1538</v>
      </c>
      <c r="D93" t="s">
        <v>1508</v>
      </c>
      <c r="E93" s="75">
        <v>46477719</v>
      </c>
    </row>
    <row r="94" spans="1:6" x14ac:dyDescent="0.25">
      <c r="A94" t="s">
        <v>1505</v>
      </c>
      <c r="B94" t="s">
        <v>1506</v>
      </c>
      <c r="C94" t="s">
        <v>1538</v>
      </c>
      <c r="D94" t="s">
        <v>1509</v>
      </c>
      <c r="E94" s="75">
        <v>14477239</v>
      </c>
    </row>
    <row r="95" spans="1:6" x14ac:dyDescent="0.25">
      <c r="A95" t="s">
        <v>1505</v>
      </c>
      <c r="B95" t="s">
        <v>1506</v>
      </c>
      <c r="C95" t="s">
        <v>1538</v>
      </c>
      <c r="D95" t="s">
        <v>1510</v>
      </c>
      <c r="E95" s="75">
        <v>60954958</v>
      </c>
      <c r="F95" s="158">
        <f>+E95/E92-1</f>
        <v>4.102185666174929E-3</v>
      </c>
    </row>
    <row r="96" spans="1:6" x14ac:dyDescent="0.25">
      <c r="A96" t="s">
        <v>1505</v>
      </c>
      <c r="B96" t="s">
        <v>1506</v>
      </c>
      <c r="C96" t="s">
        <v>1539</v>
      </c>
      <c r="D96" t="s">
        <v>1508</v>
      </c>
      <c r="E96" s="75">
        <v>46623579</v>
      </c>
    </row>
    <row r="97" spans="1:6" x14ac:dyDescent="0.25">
      <c r="A97" t="s">
        <v>1505</v>
      </c>
      <c r="B97" t="s">
        <v>1506</v>
      </c>
      <c r="C97" t="s">
        <v>1539</v>
      </c>
      <c r="D97" t="s">
        <v>1509</v>
      </c>
      <c r="E97" s="75">
        <v>14566590</v>
      </c>
    </row>
    <row r="98" spans="1:6" x14ac:dyDescent="0.25">
      <c r="A98" t="s">
        <v>1505</v>
      </c>
      <c r="B98" t="s">
        <v>1506</v>
      </c>
      <c r="C98" t="s">
        <v>1539</v>
      </c>
      <c r="D98" t="s">
        <v>1510</v>
      </c>
      <c r="E98" s="75">
        <v>61190169</v>
      </c>
      <c r="F98" s="158">
        <f>+E98/E95-1</f>
        <v>3.8587673212735485E-3</v>
      </c>
    </row>
    <row r="99" spans="1:6" x14ac:dyDescent="0.25">
      <c r="A99" t="s">
        <v>1505</v>
      </c>
      <c r="B99" t="s">
        <v>1506</v>
      </c>
      <c r="C99" t="s">
        <v>1540</v>
      </c>
      <c r="D99" t="s">
        <v>1508</v>
      </c>
      <c r="E99" s="75">
        <v>46757622</v>
      </c>
    </row>
    <row r="100" spans="1:6" x14ac:dyDescent="0.25">
      <c r="A100" t="s">
        <v>1505</v>
      </c>
      <c r="B100" t="s">
        <v>1506</v>
      </c>
      <c r="C100" t="s">
        <v>1540</v>
      </c>
      <c r="D100" t="s">
        <v>1509</v>
      </c>
      <c r="E100" s="75">
        <v>14654063</v>
      </c>
    </row>
    <row r="101" spans="1:6" x14ac:dyDescent="0.25">
      <c r="A101" t="s">
        <v>1505</v>
      </c>
      <c r="B101" t="s">
        <v>1506</v>
      </c>
      <c r="C101" t="s">
        <v>1540</v>
      </c>
      <c r="D101" t="s">
        <v>1510</v>
      </c>
      <c r="E101" s="75">
        <v>61411685</v>
      </c>
      <c r="F101" s="158">
        <f>+E101/E98-1</f>
        <v>3.6201240104436483E-3</v>
      </c>
    </row>
    <row r="102" spans="1:6" x14ac:dyDescent="0.25">
      <c r="A102" t="s">
        <v>1505</v>
      </c>
      <c r="B102" t="s">
        <v>1506</v>
      </c>
      <c r="C102" t="s">
        <v>1541</v>
      </c>
      <c r="D102" t="s">
        <v>1508</v>
      </c>
      <c r="E102" s="75">
        <v>46879896</v>
      </c>
    </row>
    <row r="103" spans="1:6" x14ac:dyDescent="0.25">
      <c r="A103" t="s">
        <v>1505</v>
      </c>
      <c r="B103" t="s">
        <v>1506</v>
      </c>
      <c r="C103" t="s">
        <v>1541</v>
      </c>
      <c r="D103" t="s">
        <v>1509</v>
      </c>
      <c r="E103" s="75">
        <v>14739585</v>
      </c>
    </row>
    <row r="104" spans="1:6" x14ac:dyDescent="0.25">
      <c r="A104" t="s">
        <v>1505</v>
      </c>
      <c r="B104" t="s">
        <v>1506</v>
      </c>
      <c r="C104" t="s">
        <v>1541</v>
      </c>
      <c r="D104" t="s">
        <v>1510</v>
      </c>
      <c r="E104" s="75">
        <v>61619481</v>
      </c>
      <c r="F104" s="158">
        <f>+E104/E101-1</f>
        <v>3.3836557326183403E-3</v>
      </c>
    </row>
    <row r="105" spans="1:6" x14ac:dyDescent="0.25">
      <c r="A105" t="s">
        <v>1505</v>
      </c>
      <c r="B105" t="s">
        <v>1506</v>
      </c>
      <c r="C105" t="s">
        <v>1542</v>
      </c>
      <c r="D105" t="s">
        <v>1508</v>
      </c>
      <c r="E105" s="75">
        <v>46990455</v>
      </c>
    </row>
    <row r="106" spans="1:6" x14ac:dyDescent="0.25">
      <c r="A106" t="s">
        <v>1505</v>
      </c>
      <c r="B106" t="s">
        <v>1506</v>
      </c>
      <c r="C106" t="s">
        <v>1542</v>
      </c>
      <c r="D106" t="s">
        <v>1509</v>
      </c>
      <c r="E106" s="75">
        <v>14823102</v>
      </c>
    </row>
    <row r="107" spans="1:6" x14ac:dyDescent="0.25">
      <c r="A107" t="s">
        <v>1505</v>
      </c>
      <c r="B107" t="s">
        <v>1506</v>
      </c>
      <c r="C107" t="s">
        <v>1542</v>
      </c>
      <c r="D107" t="s">
        <v>1510</v>
      </c>
      <c r="E107" s="75">
        <v>61813557</v>
      </c>
      <c r="F107" s="158">
        <f>+E107/E104-1</f>
        <v>3.1495883582661754E-3</v>
      </c>
    </row>
    <row r="108" spans="1:6" x14ac:dyDescent="0.25">
      <c r="A108" t="s">
        <v>1505</v>
      </c>
      <c r="B108" t="s">
        <v>1506</v>
      </c>
      <c r="C108" t="s">
        <v>1543</v>
      </c>
      <c r="D108" t="s">
        <v>1508</v>
      </c>
      <c r="E108" s="75">
        <v>47089493</v>
      </c>
    </row>
    <row r="109" spans="1:6" x14ac:dyDescent="0.25">
      <c r="A109" t="s">
        <v>1505</v>
      </c>
      <c r="B109" t="s">
        <v>1506</v>
      </c>
      <c r="C109" t="s">
        <v>1543</v>
      </c>
      <c r="D109" t="s">
        <v>1509</v>
      </c>
      <c r="E109" s="75">
        <v>14904690</v>
      </c>
    </row>
    <row r="110" spans="1:6" x14ac:dyDescent="0.25">
      <c r="A110" t="s">
        <v>1505</v>
      </c>
      <c r="B110" t="s">
        <v>1506</v>
      </c>
      <c r="C110" t="s">
        <v>1543</v>
      </c>
      <c r="D110" t="s">
        <v>1510</v>
      </c>
      <c r="E110" s="75">
        <v>61994183</v>
      </c>
      <c r="F110" s="158">
        <f>+E110/E107-1</f>
        <v>2.9221097889577941E-3</v>
      </c>
    </row>
    <row r="111" spans="1:6" x14ac:dyDescent="0.25">
      <c r="A111" t="s">
        <v>1505</v>
      </c>
      <c r="B111" t="s">
        <v>1506</v>
      </c>
      <c r="C111" t="s">
        <v>1544</v>
      </c>
      <c r="D111" t="s">
        <v>1508</v>
      </c>
      <c r="E111" s="75">
        <v>47177278</v>
      </c>
    </row>
    <row r="112" spans="1:6" x14ac:dyDescent="0.25">
      <c r="A112" t="s">
        <v>1505</v>
      </c>
      <c r="B112" t="s">
        <v>1506</v>
      </c>
      <c r="C112" t="s">
        <v>1544</v>
      </c>
      <c r="D112" t="s">
        <v>1509</v>
      </c>
      <c r="E112" s="75">
        <v>14984435</v>
      </c>
    </row>
    <row r="113" spans="1:6" x14ac:dyDescent="0.25">
      <c r="A113" t="s">
        <v>1505</v>
      </c>
      <c r="B113" t="s">
        <v>1506</v>
      </c>
      <c r="C113" t="s">
        <v>1544</v>
      </c>
      <c r="D113" t="s">
        <v>1510</v>
      </c>
      <c r="E113" s="75">
        <v>62161713</v>
      </c>
      <c r="F113" s="158">
        <f>+E113/E110-1</f>
        <v>2.702350315674007E-3</v>
      </c>
    </row>
    <row r="114" spans="1:6" x14ac:dyDescent="0.25">
      <c r="A114" t="s">
        <v>1505</v>
      </c>
      <c r="B114" t="s">
        <v>1506</v>
      </c>
      <c r="C114" t="s">
        <v>1545</v>
      </c>
      <c r="D114" t="s">
        <v>1508</v>
      </c>
      <c r="E114" s="75">
        <v>47253907</v>
      </c>
    </row>
    <row r="115" spans="1:6" x14ac:dyDescent="0.25">
      <c r="A115" t="s">
        <v>1505</v>
      </c>
      <c r="B115" t="s">
        <v>1506</v>
      </c>
      <c r="C115" t="s">
        <v>1545</v>
      </c>
      <c r="D115" t="s">
        <v>1509</v>
      </c>
      <c r="E115" s="75">
        <v>15062310</v>
      </c>
    </row>
    <row r="116" spans="1:6" x14ac:dyDescent="0.25">
      <c r="A116" t="s">
        <v>1505</v>
      </c>
      <c r="B116" t="s">
        <v>1506</v>
      </c>
      <c r="C116" t="s">
        <v>1545</v>
      </c>
      <c r="D116" t="s">
        <v>1510</v>
      </c>
      <c r="E116" s="75">
        <v>62316217</v>
      </c>
    </row>
    <row r="117" spans="1:6" x14ac:dyDescent="0.25">
      <c r="A117" t="s">
        <v>1505</v>
      </c>
      <c r="B117" t="s">
        <v>1506</v>
      </c>
      <c r="C117" t="s">
        <v>1546</v>
      </c>
      <c r="D117" t="s">
        <v>1508</v>
      </c>
      <c r="E117" s="75">
        <v>47319418</v>
      </c>
    </row>
    <row r="118" spans="1:6" x14ac:dyDescent="0.25">
      <c r="A118" t="s">
        <v>1505</v>
      </c>
      <c r="B118" t="s">
        <v>1506</v>
      </c>
      <c r="C118" t="s">
        <v>1546</v>
      </c>
      <c r="D118" t="s">
        <v>1509</v>
      </c>
      <c r="E118" s="75">
        <v>15138287</v>
      </c>
    </row>
    <row r="119" spans="1:6" x14ac:dyDescent="0.25">
      <c r="A119" t="s">
        <v>1505</v>
      </c>
      <c r="B119" t="s">
        <v>1506</v>
      </c>
      <c r="C119" t="s">
        <v>1546</v>
      </c>
      <c r="D119" t="s">
        <v>1510</v>
      </c>
      <c r="E119" s="75">
        <v>62457705</v>
      </c>
    </row>
    <row r="120" spans="1:6" x14ac:dyDescent="0.25">
      <c r="A120" t="s">
        <v>1505</v>
      </c>
      <c r="B120" t="s">
        <v>1506</v>
      </c>
      <c r="C120" t="s">
        <v>1547</v>
      </c>
      <c r="D120" t="s">
        <v>1508</v>
      </c>
      <c r="E120" s="75">
        <v>47373875</v>
      </c>
    </row>
    <row r="121" spans="1:6" x14ac:dyDescent="0.25">
      <c r="A121" t="s">
        <v>1505</v>
      </c>
      <c r="B121" t="s">
        <v>1506</v>
      </c>
      <c r="C121" t="s">
        <v>1547</v>
      </c>
      <c r="D121" t="s">
        <v>1509</v>
      </c>
      <c r="E121" s="75">
        <v>15212325</v>
      </c>
    </row>
    <row r="122" spans="1:6" x14ac:dyDescent="0.25">
      <c r="A122" t="s">
        <v>1505</v>
      </c>
      <c r="B122" t="s">
        <v>1506</v>
      </c>
      <c r="C122" t="s">
        <v>1547</v>
      </c>
      <c r="D122" t="s">
        <v>1510</v>
      </c>
      <c r="E122" s="75">
        <v>62586200</v>
      </c>
    </row>
    <row r="123" spans="1:6" x14ac:dyDescent="0.25">
      <c r="A123" t="s">
        <v>1505</v>
      </c>
      <c r="B123" t="s">
        <v>1506</v>
      </c>
      <c r="C123" t="s">
        <v>1548</v>
      </c>
      <c r="D123" t="s">
        <v>1508</v>
      </c>
      <c r="E123" s="75">
        <v>47417429</v>
      </c>
    </row>
    <row r="124" spans="1:6" x14ac:dyDescent="0.25">
      <c r="A124" t="s">
        <v>1505</v>
      </c>
      <c r="B124" t="s">
        <v>1506</v>
      </c>
      <c r="C124" t="s">
        <v>1548</v>
      </c>
      <c r="D124" t="s">
        <v>1509</v>
      </c>
      <c r="E124" s="75">
        <v>15284488</v>
      </c>
    </row>
    <row r="125" spans="1:6" x14ac:dyDescent="0.25">
      <c r="A125" t="s">
        <v>1505</v>
      </c>
      <c r="B125" t="s">
        <v>1506</v>
      </c>
      <c r="C125" t="s">
        <v>1548</v>
      </c>
      <c r="D125" t="s">
        <v>1510</v>
      </c>
      <c r="E125" s="75">
        <v>62701917</v>
      </c>
    </row>
    <row r="126" spans="1:6" x14ac:dyDescent="0.25">
      <c r="A126" t="s">
        <v>1505</v>
      </c>
      <c r="B126" t="s">
        <v>1506</v>
      </c>
      <c r="C126" t="s">
        <v>1549</v>
      </c>
      <c r="D126" t="s">
        <v>1508</v>
      </c>
      <c r="E126" s="75">
        <v>47450292</v>
      </c>
    </row>
    <row r="127" spans="1:6" x14ac:dyDescent="0.25">
      <c r="A127" t="s">
        <v>1505</v>
      </c>
      <c r="B127" t="s">
        <v>1506</v>
      </c>
      <c r="C127" t="s">
        <v>1549</v>
      </c>
      <c r="D127" t="s">
        <v>1509</v>
      </c>
      <c r="E127" s="75">
        <v>15354835</v>
      </c>
    </row>
    <row r="128" spans="1:6" x14ac:dyDescent="0.25">
      <c r="A128" t="s">
        <v>1505</v>
      </c>
      <c r="B128" t="s">
        <v>1506</v>
      </c>
      <c r="C128" t="s">
        <v>1549</v>
      </c>
      <c r="D128" t="s">
        <v>1510</v>
      </c>
      <c r="E128" s="75">
        <v>62805127</v>
      </c>
    </row>
    <row r="129" spans="1:5" x14ac:dyDescent="0.25">
      <c r="A129" t="s">
        <v>1505</v>
      </c>
      <c r="B129" t="s">
        <v>1506</v>
      </c>
      <c r="C129" t="s">
        <v>1550</v>
      </c>
      <c r="D129" t="s">
        <v>1508</v>
      </c>
      <c r="E129" s="75">
        <v>47472623</v>
      </c>
    </row>
    <row r="130" spans="1:5" x14ac:dyDescent="0.25">
      <c r="A130" t="s">
        <v>1505</v>
      </c>
      <c r="B130" t="s">
        <v>1506</v>
      </c>
      <c r="C130" t="s">
        <v>1550</v>
      </c>
      <c r="D130" t="s">
        <v>1509</v>
      </c>
      <c r="E130" s="75">
        <v>15423350</v>
      </c>
    </row>
    <row r="131" spans="1:5" x14ac:dyDescent="0.25">
      <c r="A131" t="s">
        <v>1505</v>
      </c>
      <c r="B131" t="s">
        <v>1506</v>
      </c>
      <c r="C131" t="s">
        <v>1550</v>
      </c>
      <c r="D131" t="s">
        <v>1510</v>
      </c>
      <c r="E131" s="75">
        <v>62895973</v>
      </c>
    </row>
    <row r="132" spans="1:5" x14ac:dyDescent="0.25">
      <c r="A132" t="s">
        <v>1505</v>
      </c>
      <c r="B132" t="s">
        <v>1506</v>
      </c>
      <c r="C132" t="s">
        <v>1551</v>
      </c>
      <c r="D132" t="s">
        <v>1508</v>
      </c>
      <c r="E132" s="75">
        <v>47484515</v>
      </c>
    </row>
    <row r="133" spans="1:5" x14ac:dyDescent="0.25">
      <c r="A133" t="s">
        <v>1505</v>
      </c>
      <c r="B133" t="s">
        <v>1506</v>
      </c>
      <c r="C133" t="s">
        <v>1551</v>
      </c>
      <c r="D133" t="s">
        <v>1509</v>
      </c>
      <c r="E133" s="75">
        <v>15489995</v>
      </c>
    </row>
    <row r="134" spans="1:5" x14ac:dyDescent="0.25">
      <c r="A134" t="s">
        <v>1505</v>
      </c>
      <c r="B134" t="s">
        <v>1506</v>
      </c>
      <c r="C134" t="s">
        <v>1551</v>
      </c>
      <c r="D134" t="s">
        <v>1510</v>
      </c>
      <c r="E134" s="75">
        <v>62974510</v>
      </c>
    </row>
    <row r="135" spans="1:5" x14ac:dyDescent="0.25">
      <c r="A135" t="s">
        <v>1505</v>
      </c>
      <c r="B135" t="s">
        <v>1506</v>
      </c>
      <c r="C135" t="s">
        <v>1552</v>
      </c>
      <c r="D135" t="s">
        <v>1508</v>
      </c>
      <c r="E135" s="75">
        <v>47486075</v>
      </c>
    </row>
    <row r="136" spans="1:5" x14ac:dyDescent="0.25">
      <c r="A136" t="s">
        <v>1505</v>
      </c>
      <c r="B136" t="s">
        <v>1506</v>
      </c>
      <c r="C136" t="s">
        <v>1552</v>
      </c>
      <c r="D136" t="s">
        <v>1509</v>
      </c>
      <c r="E136" s="75">
        <v>15554770</v>
      </c>
    </row>
    <row r="137" spans="1:5" x14ac:dyDescent="0.25">
      <c r="A137" t="s">
        <v>1505</v>
      </c>
      <c r="B137" t="s">
        <v>1506</v>
      </c>
      <c r="C137" t="s">
        <v>1552</v>
      </c>
      <c r="D137" t="s">
        <v>1510</v>
      </c>
      <c r="E137" s="75">
        <v>63040845</v>
      </c>
    </row>
    <row r="138" spans="1:5" x14ac:dyDescent="0.25">
      <c r="A138" t="s">
        <v>1505</v>
      </c>
      <c r="B138" t="s">
        <v>1506</v>
      </c>
      <c r="C138" t="s">
        <v>1553</v>
      </c>
      <c r="D138" t="s">
        <v>1508</v>
      </c>
      <c r="E138" s="75">
        <v>47477508</v>
      </c>
    </row>
    <row r="139" spans="1:5" x14ac:dyDescent="0.25">
      <c r="A139" t="s">
        <v>1505</v>
      </c>
      <c r="B139" t="s">
        <v>1506</v>
      </c>
      <c r="C139" t="s">
        <v>1553</v>
      </c>
      <c r="D139" t="s">
        <v>1509</v>
      </c>
      <c r="E139" s="75">
        <v>15617680</v>
      </c>
    </row>
    <row r="140" spans="1:5" x14ac:dyDescent="0.25">
      <c r="A140" t="s">
        <v>1505</v>
      </c>
      <c r="B140" t="s">
        <v>1506</v>
      </c>
      <c r="C140" t="s">
        <v>1553</v>
      </c>
      <c r="D140" t="s">
        <v>1510</v>
      </c>
      <c r="E140" s="75">
        <v>63095188</v>
      </c>
    </row>
    <row r="141" spans="1:5" x14ac:dyDescent="0.25">
      <c r="A141" t="s">
        <v>1505</v>
      </c>
      <c r="B141" t="s">
        <v>1506</v>
      </c>
      <c r="C141" t="s">
        <v>1554</v>
      </c>
      <c r="D141" t="s">
        <v>1508</v>
      </c>
      <c r="E141" s="75">
        <v>47459047</v>
      </c>
    </row>
    <row r="142" spans="1:5" x14ac:dyDescent="0.25">
      <c r="A142" t="s">
        <v>1505</v>
      </c>
      <c r="B142" t="s">
        <v>1506</v>
      </c>
      <c r="C142" t="s">
        <v>1554</v>
      </c>
      <c r="D142" t="s">
        <v>1509</v>
      </c>
      <c r="E142" s="75">
        <v>15678764</v>
      </c>
    </row>
    <row r="143" spans="1:5" x14ac:dyDescent="0.25">
      <c r="A143" t="s">
        <v>1505</v>
      </c>
      <c r="B143" t="s">
        <v>1506</v>
      </c>
      <c r="C143" t="s">
        <v>1554</v>
      </c>
      <c r="D143" t="s">
        <v>1510</v>
      </c>
      <c r="E143" s="75">
        <v>63137811</v>
      </c>
    </row>
    <row r="144" spans="1:5" x14ac:dyDescent="0.25">
      <c r="A144" t="s">
        <v>1505</v>
      </c>
      <c r="B144" t="s">
        <v>1506</v>
      </c>
      <c r="C144" t="s">
        <v>1555</v>
      </c>
      <c r="D144" t="s">
        <v>1508</v>
      </c>
      <c r="E144" s="75">
        <v>47430889</v>
      </c>
    </row>
    <row r="145" spans="1:5" x14ac:dyDescent="0.25">
      <c r="A145" t="s">
        <v>1505</v>
      </c>
      <c r="B145" t="s">
        <v>1506</v>
      </c>
      <c r="C145" t="s">
        <v>1555</v>
      </c>
      <c r="D145" t="s">
        <v>1509</v>
      </c>
      <c r="E145" s="75">
        <v>15738011</v>
      </c>
    </row>
    <row r="146" spans="1:5" x14ac:dyDescent="0.25">
      <c r="A146" t="s">
        <v>1505</v>
      </c>
      <c r="B146" t="s">
        <v>1506</v>
      </c>
      <c r="C146" t="s">
        <v>1555</v>
      </c>
      <c r="D146" t="s">
        <v>1510</v>
      </c>
      <c r="E146" s="75">
        <v>63168900</v>
      </c>
    </row>
    <row r="147" spans="1:5" x14ac:dyDescent="0.25">
      <c r="A147" t="s">
        <v>1505</v>
      </c>
      <c r="B147" t="s">
        <v>1506</v>
      </c>
      <c r="C147" t="s">
        <v>1556</v>
      </c>
      <c r="D147" t="s">
        <v>1508</v>
      </c>
      <c r="E147" s="75">
        <v>47393187</v>
      </c>
    </row>
    <row r="148" spans="1:5" x14ac:dyDescent="0.25">
      <c r="A148" t="s">
        <v>1505</v>
      </c>
      <c r="B148" t="s">
        <v>1506</v>
      </c>
      <c r="C148" t="s">
        <v>1556</v>
      </c>
      <c r="D148" t="s">
        <v>1509</v>
      </c>
      <c r="E148" s="75">
        <v>15795396</v>
      </c>
    </row>
    <row r="149" spans="1:5" x14ac:dyDescent="0.25">
      <c r="A149" t="s">
        <v>1505</v>
      </c>
      <c r="B149" t="s">
        <v>1506</v>
      </c>
      <c r="C149" t="s">
        <v>1556</v>
      </c>
      <c r="D149" t="s">
        <v>1510</v>
      </c>
      <c r="E149" s="75">
        <v>63188583</v>
      </c>
    </row>
    <row r="150" spans="1:5" x14ac:dyDescent="0.25">
      <c r="A150" t="s">
        <v>1505</v>
      </c>
      <c r="B150" t="s">
        <v>1506</v>
      </c>
      <c r="C150" t="s">
        <v>1557</v>
      </c>
      <c r="D150" t="s">
        <v>1508</v>
      </c>
      <c r="E150" s="75">
        <v>47346106</v>
      </c>
    </row>
    <row r="151" spans="1:5" x14ac:dyDescent="0.25">
      <c r="A151" t="s">
        <v>1505</v>
      </c>
      <c r="B151" t="s">
        <v>1506</v>
      </c>
      <c r="C151" t="s">
        <v>1557</v>
      </c>
      <c r="D151" t="s">
        <v>1509</v>
      </c>
      <c r="E151" s="75">
        <v>15850898</v>
      </c>
    </row>
    <row r="152" spans="1:5" x14ac:dyDescent="0.25">
      <c r="A152" t="s">
        <v>1505</v>
      </c>
      <c r="B152" t="s">
        <v>1506</v>
      </c>
      <c r="C152" t="s">
        <v>1557</v>
      </c>
      <c r="D152" t="s">
        <v>1510</v>
      </c>
      <c r="E152" s="75">
        <v>63197004</v>
      </c>
    </row>
    <row r="153" spans="1:5" x14ac:dyDescent="0.25">
      <c r="A153" t="s">
        <v>1505</v>
      </c>
      <c r="B153" t="s">
        <v>1506</v>
      </c>
      <c r="C153" t="s">
        <v>1558</v>
      </c>
      <c r="D153" t="s">
        <v>1508</v>
      </c>
      <c r="E153" s="75">
        <v>47289834</v>
      </c>
    </row>
    <row r="154" spans="1:5" x14ac:dyDescent="0.25">
      <c r="A154" t="s">
        <v>1505</v>
      </c>
      <c r="B154" t="s">
        <v>1506</v>
      </c>
      <c r="C154" t="s">
        <v>1558</v>
      </c>
      <c r="D154" t="s">
        <v>1509</v>
      </c>
      <c r="E154" s="75">
        <v>15904525</v>
      </c>
    </row>
    <row r="155" spans="1:5" x14ac:dyDescent="0.25">
      <c r="A155" t="s">
        <v>1505</v>
      </c>
      <c r="B155" t="s">
        <v>1506</v>
      </c>
      <c r="C155" t="s">
        <v>1558</v>
      </c>
      <c r="D155" t="s">
        <v>1510</v>
      </c>
      <c r="E155" s="75">
        <v>63194359</v>
      </c>
    </row>
    <row r="156" spans="1:5" x14ac:dyDescent="0.25">
      <c r="A156" t="s">
        <v>1505</v>
      </c>
      <c r="B156" t="s">
        <v>1506</v>
      </c>
      <c r="C156" t="s">
        <v>1559</v>
      </c>
      <c r="D156" t="s">
        <v>1508</v>
      </c>
      <c r="E156" s="75">
        <v>47224624</v>
      </c>
    </row>
    <row r="157" spans="1:5" x14ac:dyDescent="0.25">
      <c r="A157" t="s">
        <v>1505</v>
      </c>
      <c r="B157" t="s">
        <v>1506</v>
      </c>
      <c r="C157" t="s">
        <v>1559</v>
      </c>
      <c r="D157" t="s">
        <v>1509</v>
      </c>
      <c r="E157" s="75">
        <v>15956298</v>
      </c>
    </row>
    <row r="158" spans="1:5" x14ac:dyDescent="0.25">
      <c r="A158" t="s">
        <v>1505</v>
      </c>
      <c r="B158" t="s">
        <v>1506</v>
      </c>
      <c r="C158" t="s">
        <v>1559</v>
      </c>
      <c r="D158" t="s">
        <v>1510</v>
      </c>
      <c r="E158" s="75">
        <v>63180922</v>
      </c>
    </row>
    <row r="159" spans="1:5" x14ac:dyDescent="0.25">
      <c r="A159" t="s">
        <v>1505</v>
      </c>
      <c r="B159" t="s">
        <v>1506</v>
      </c>
      <c r="C159" t="s">
        <v>1560</v>
      </c>
      <c r="D159" t="s">
        <v>1508</v>
      </c>
      <c r="E159" s="75">
        <v>47150698</v>
      </c>
    </row>
    <row r="160" spans="1:5" x14ac:dyDescent="0.25">
      <c r="A160" t="s">
        <v>1505</v>
      </c>
      <c r="B160" t="s">
        <v>1506</v>
      </c>
      <c r="C160" t="s">
        <v>1560</v>
      </c>
      <c r="D160" t="s">
        <v>1509</v>
      </c>
      <c r="E160" s="75">
        <v>16006204</v>
      </c>
    </row>
    <row r="161" spans="1:5" x14ac:dyDescent="0.25">
      <c r="A161" t="s">
        <v>1505</v>
      </c>
      <c r="B161" t="s">
        <v>1506</v>
      </c>
      <c r="C161" t="s">
        <v>1560</v>
      </c>
      <c r="D161" t="s">
        <v>1510</v>
      </c>
      <c r="E161" s="75">
        <v>63156902</v>
      </c>
    </row>
    <row r="162" spans="1:5" x14ac:dyDescent="0.25">
      <c r="A162" t="s">
        <v>1505</v>
      </c>
      <c r="B162" t="s">
        <v>1506</v>
      </c>
      <c r="C162" t="s">
        <v>1561</v>
      </c>
      <c r="D162" t="s">
        <v>1508</v>
      </c>
      <c r="E162" s="75">
        <v>47068275</v>
      </c>
    </row>
    <row r="163" spans="1:5" x14ac:dyDescent="0.25">
      <c r="A163" t="s">
        <v>1505</v>
      </c>
      <c r="B163" t="s">
        <v>1506</v>
      </c>
      <c r="C163" t="s">
        <v>1561</v>
      </c>
      <c r="D163" t="s">
        <v>1509</v>
      </c>
      <c r="E163" s="75">
        <v>16054213</v>
      </c>
    </row>
    <row r="164" spans="1:5" x14ac:dyDescent="0.25">
      <c r="A164" t="s">
        <v>1505</v>
      </c>
      <c r="B164" t="s">
        <v>1506</v>
      </c>
      <c r="C164" t="s">
        <v>1561</v>
      </c>
      <c r="D164" t="s">
        <v>1510</v>
      </c>
      <c r="E164" s="75">
        <v>63122488</v>
      </c>
    </row>
    <row r="165" spans="1:5" x14ac:dyDescent="0.25">
      <c r="A165" t="s">
        <v>1505</v>
      </c>
      <c r="B165" t="s">
        <v>1506</v>
      </c>
      <c r="C165" t="s">
        <v>1562</v>
      </c>
      <c r="D165" t="s">
        <v>1508</v>
      </c>
      <c r="E165" s="75">
        <v>46977554</v>
      </c>
    </row>
    <row r="166" spans="1:5" x14ac:dyDescent="0.25">
      <c r="A166" t="s">
        <v>1505</v>
      </c>
      <c r="B166" t="s">
        <v>1506</v>
      </c>
      <c r="C166" t="s">
        <v>1562</v>
      </c>
      <c r="D166" t="s">
        <v>1509</v>
      </c>
      <c r="E166" s="75">
        <v>16100319</v>
      </c>
    </row>
    <row r="167" spans="1:5" x14ac:dyDescent="0.25">
      <c r="A167" t="s">
        <v>1505</v>
      </c>
      <c r="B167" t="s">
        <v>1506</v>
      </c>
      <c r="C167" t="s">
        <v>1562</v>
      </c>
      <c r="D167" t="s">
        <v>1510</v>
      </c>
      <c r="E167" s="75">
        <v>63077873</v>
      </c>
    </row>
    <row r="168" spans="1:5" x14ac:dyDescent="0.25">
      <c r="A168" t="s">
        <v>1505</v>
      </c>
      <c r="B168" t="s">
        <v>1506</v>
      </c>
      <c r="C168" t="s">
        <v>1563</v>
      </c>
      <c r="D168" t="s">
        <v>1508</v>
      </c>
      <c r="E168" s="75">
        <v>46878800</v>
      </c>
    </row>
    <row r="169" spans="1:5" x14ac:dyDescent="0.25">
      <c r="A169" t="s">
        <v>1505</v>
      </c>
      <c r="B169" t="s">
        <v>1506</v>
      </c>
      <c r="C169" t="s">
        <v>1563</v>
      </c>
      <c r="D169" t="s">
        <v>1509</v>
      </c>
      <c r="E169" s="75">
        <v>16144534</v>
      </c>
    </row>
    <row r="170" spans="1:5" x14ac:dyDescent="0.25">
      <c r="A170" s="159" t="s">
        <v>1505</v>
      </c>
      <c r="B170" s="159" t="s">
        <v>1506</v>
      </c>
      <c r="C170" s="159" t="s">
        <v>1563</v>
      </c>
      <c r="D170" s="159" t="s">
        <v>1510</v>
      </c>
      <c r="E170" s="160">
        <v>63023334</v>
      </c>
    </row>
  </sheetData>
  <mergeCells count="2">
    <mergeCell ref="A6:E7"/>
    <mergeCell ref="A8:E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3</vt:i4>
      </vt:variant>
    </vt:vector>
  </HeadingPairs>
  <TitlesOfParts>
    <vt:vector size="22" baseType="lpstr">
      <vt:lpstr>Portada</vt:lpstr>
      <vt:lpstr>Instrucciones</vt:lpstr>
      <vt:lpstr>Datos de entrada</vt:lpstr>
      <vt:lpstr>Municipios Proyecto Regional</vt:lpstr>
      <vt:lpstr>Resultados</vt:lpstr>
      <vt:lpstr>Interpretación de Resultados</vt:lpstr>
      <vt:lpstr>Cálculo</vt:lpstr>
      <vt:lpstr>Ponderaciones</vt:lpstr>
      <vt:lpstr>Fichas técnicas Tecnologías</vt:lpstr>
      <vt:lpstr>CDF y CRT-TMB</vt:lpstr>
      <vt:lpstr>CDF y CRT-DA</vt:lpstr>
      <vt:lpstr>Valoración</vt:lpstr>
      <vt:lpstr>Costos de operación</vt:lpstr>
      <vt:lpstr>Costos de inversión</vt:lpstr>
      <vt:lpstr>Información municipios</vt:lpstr>
      <vt:lpstr>Información referencia</vt:lpstr>
      <vt:lpstr>Medidas Escenarios</vt:lpstr>
      <vt:lpstr>Listas</vt:lpstr>
      <vt:lpstr>Nacional_Área</vt:lpstr>
      <vt:lpstr>Cálculo!_Toc68549346</vt:lpstr>
      <vt:lpstr>'Datos de entrada'!Área_de_impresión</vt:lpstr>
      <vt:lpstr>Resultados!Área_de_impresión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García Londoño</dc:creator>
  <cp:keywords/>
  <dc:description/>
  <cp:lastModifiedBy>Ximena Andrea Garzon Bahamon</cp:lastModifiedBy>
  <cp:revision/>
  <dcterms:created xsi:type="dcterms:W3CDTF">2021-03-19T15:21:29Z</dcterms:created>
  <dcterms:modified xsi:type="dcterms:W3CDTF">2022-06-14T21:57:04Z</dcterms:modified>
  <cp:category/>
  <cp:contentStatus/>
</cp:coreProperties>
</file>