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600" windowHeight="9915" activeTab="0"/>
  </bookViews>
  <sheets>
    <sheet name="PEIPG SECTORIAL 2016" sheetId="1" r:id="rId1"/>
  </sheets>
  <definedNames/>
  <calcPr fullCalcOnLoad="1"/>
</workbook>
</file>

<file path=xl/sharedStrings.xml><?xml version="1.0" encoding="utf-8"?>
<sst xmlns="http://schemas.openxmlformats.org/spreadsheetml/2006/main" count="691" uniqueCount="565">
  <si>
    <t>POLÍTICAS DE DESARROLLO ADMINISTRATIVO</t>
  </si>
  <si>
    <t>Estrategia o Línea Prioritaria</t>
  </si>
  <si>
    <t>Productos</t>
  </si>
  <si>
    <t>Indicador del Producto</t>
  </si>
  <si>
    <t>GESTIÓN MISIONAL Y DE GOBIERNO</t>
  </si>
  <si>
    <t>TRANSPARENCIA, PARTICIPACIÓN Y SERVICIO AL CIUDADANO</t>
  </si>
  <si>
    <t>GESTIÓN DEL TALENTO HUMANO</t>
  </si>
  <si>
    <t>EFICIENCIA ADMINISTRATIVA</t>
  </si>
  <si>
    <t>GESTIÓN FINANCIERA</t>
  </si>
  <si>
    <t>Línea Base</t>
  </si>
  <si>
    <t>Movilidad Social</t>
  </si>
  <si>
    <t>Meta 2016</t>
  </si>
  <si>
    <t>Trimestre 1</t>
  </si>
  <si>
    <t>Trimestre 2</t>
  </si>
  <si>
    <t>Trimestre 3</t>
  </si>
  <si>
    <t>Trimestre 4</t>
  </si>
  <si>
    <t>Avance</t>
  </si>
  <si>
    <t>Fecha límite</t>
  </si>
  <si>
    <t>Descripción</t>
  </si>
  <si>
    <t xml:space="preserve">Responsable </t>
  </si>
  <si>
    <t>Por política</t>
  </si>
  <si>
    <t>SECTOR DE VIVIENDA, CIUDAD Y TERRITORIO
MATRIZ DE SEGUIMIENTO ANUAL DEL PLAN ESTRATÉGICO INTEGRADO DE PLANEACIÓN Y GESTIÓN SECTORIAL
AÑO: 2016</t>
  </si>
  <si>
    <t>Buen Gobierno</t>
  </si>
  <si>
    <t>FNA</t>
  </si>
  <si>
    <t>Unidad de medida</t>
  </si>
  <si>
    <t>Número</t>
  </si>
  <si>
    <t>Porcentaje de hogares urbanos en condiciones de déficit de vivienda cualitativo</t>
  </si>
  <si>
    <t xml:space="preserve">Porcentaje de Hogares Urbanos en situación de déficit de vivienda  cuantitativo </t>
  </si>
  <si>
    <t xml:space="preserve">Afiliados </t>
  </si>
  <si>
    <t>Créditos Aprobados</t>
  </si>
  <si>
    <t>Número de Afiliados por Cesantías y AVC</t>
  </si>
  <si>
    <t>No. de horas reales ejecutadas año / No. de horas programadas año x 100</t>
  </si>
  <si>
    <t xml:space="preserve">Actualizar y publicar el protocolo para la atención al ciudadano a nivel de las entidades del Sector </t>
  </si>
  <si>
    <t>Porcentaje</t>
  </si>
  <si>
    <t>Porcentaje de avance en la publicación de proyectos normativos, politícas, planes y programas.</t>
  </si>
  <si>
    <t>Publicar en la página WEB  de cada entidad del sector,  los proyectos normativos,  las políticas,  planes y programas de competencia institucional, para consulta y participación  de grupos de interés y ciudadania en general.</t>
  </si>
  <si>
    <t>Realización de foro virtual, que permita la interacción  simultanea con la ciudadania y grupos de interés en general, en temas misionales, donde concurran  las tres entidades del sector.</t>
  </si>
  <si>
    <t>Participación Sectorial  en ferias del servicio al ciudadano a nivel Nacional, donde concurran la tres entidades del sector.</t>
  </si>
  <si>
    <t>Número de ferias del servicio al ciudadano a nivel Nacional participantes.</t>
  </si>
  <si>
    <t>Prestar un Servicio de comunicación online, para transmitir información, atender
solicitudes y generar una interacción simultánea, en tiempo real con el ciudadano - mediante CHAT - Atención virtual.</t>
  </si>
  <si>
    <t>No. de Documentos de protocolo para atención al ciudadano, Actualizados y publicados.</t>
  </si>
  <si>
    <t>Revisión de proyectos en materia de Acueducto, Alcantarillado y Aseo, durante la vigencia</t>
  </si>
  <si>
    <t>Formular e implementar una estrategia de rendición de cuentas para la entidad, cumpliendo con los lineamientos metodologicos del manual único de rendición de cuentas y publicarlo en la página Web Institucional.</t>
  </si>
  <si>
    <t>Cumplimiento sectorial a lo establecido en el art. 36 de la Ley 909 de 2.004 y el Decreto No. 4665 de 2,007 - Formular e implementar para cada entidad del sector, el Plan Institucional de capacitación, de acuerdo con la metodologia vigente para cada entidad y Publicarlo en la Intranet.</t>
  </si>
  <si>
    <t xml:space="preserve">Cumplimiento sectorial a lo establecido en el art. 73 de la Ley 1474 de 2.011 - Formular e Implementar  para cada entidad del sector, el Plan Anti Corrupción y de atención al ciudadano, de acuerdo con la metodologia establecida y Publicarlo en la página WEB Institucional.                                                                                                                                                                                                                                                                                         </t>
  </si>
  <si>
    <t>Porcentaje de PAC Ejecutado</t>
  </si>
  <si>
    <t>Sistema de Gestión de calidad con certificado vigente</t>
  </si>
  <si>
    <t>Mantener el Sistema de Gestión de Calidad bajo los lineamientos de la Norma Técnica de Calidad de la Gestión, conforme a cada entidad del sector.</t>
  </si>
  <si>
    <t>Programación presupuestal de las entidades del sector, de acuerdo a la naturaleza jurídica de cada entidad.</t>
  </si>
  <si>
    <t>Ejecución del PAC de las entidades del sector</t>
  </si>
  <si>
    <t xml:space="preserve"> Seguimiento a Proyectos de Inversión</t>
  </si>
  <si>
    <t>Formular e implementar una estrategia para disminuir el consumo de papel en las entidades del sector, incluyendo buenas prácticas ( Documentos electrónicos y automatización de procesos,  entre otros) tomando como año base la utilización en el 2015.</t>
  </si>
  <si>
    <t xml:space="preserve">Formular e implementar el Sistema de Gestión de la seguridad de la información acorde a los lineamientos del GEL, según lo establecido en el  Decreto 2573 de 2.014 </t>
  </si>
  <si>
    <t>Actualizar e Implementar el plan del manejo de residuos de aparatos electricos y electrónicos (RAEE),  como lo establece la estrategia GEL (Decreto 2573 de 2.014).</t>
  </si>
  <si>
    <t>Seguimiento a la Ejecución presupuestal de las entidades del sector, de acuerdo a la naturaleza jurídica de cada entidad.</t>
  </si>
  <si>
    <t>Informes de seguimiento trimestrales del avance físico del producto de la entidad (SPI)</t>
  </si>
  <si>
    <t>Informes de Seguimiento del avance de gestión del producto de la entidad (SPI)</t>
  </si>
  <si>
    <t>Elaboración e implementación de Programas de Gestión Documental en las entidades del sector, atendiendo las directrices del archivo general de la Nación.</t>
  </si>
  <si>
    <t>Porcentaje de avance del Programa de Gestión Documental elaborado e implementado.</t>
  </si>
  <si>
    <t>No. De encuestas formuladas, aplicadas, con Informe y publicación de resultados.</t>
  </si>
  <si>
    <t xml:space="preserve">No. Foros Virtuales sectoriales realizados. </t>
  </si>
  <si>
    <t>Porcentaje de avance de la estrategia para disminuir consumo de papel, formulada e implementada.</t>
  </si>
  <si>
    <t>Porcentaje de avance del Plan de RAEE actualizado e Implementado.</t>
  </si>
  <si>
    <t>Porcentaje de avance del Sistema de gestión de la seguridad de la información, formulado e implementado,  según  estrategia GEL.</t>
  </si>
  <si>
    <t>Formulación y seguimiento al Plan Anual de Adquisiciones, de acuerdo a los linemientos de Colombia Compra Eficiente.</t>
  </si>
  <si>
    <t>Porcentaje de avance de la Estrategia Rendición de Cuentas, formulada e implementada.</t>
  </si>
  <si>
    <t xml:space="preserve">Numero de Asistencias Técnicas realizadas. </t>
  </si>
  <si>
    <t xml:space="preserve">Numero de proyectos revisados durante la vigencia </t>
  </si>
  <si>
    <t>Viviendas de interés prioritario iniciadas en el programa de vivienda - VIPA</t>
  </si>
  <si>
    <t>Viviendas de interés prioritario y social iniciadas en el Programa de Cobertura Condicionada para Créditos de Vivienda Segunda Generación - "Frech"</t>
  </si>
  <si>
    <t>Viviendas de interés social iniciadas en el Programa de promoción y acceso a vivienda de interés social - "Mi Casa Ya"</t>
  </si>
  <si>
    <t>Viviendas iniciadas de interés prioritario programa de vivienda gratis segunda fase</t>
  </si>
  <si>
    <t>Porcentaje de hogares urbanos en condiciones de deficit de vivienda cualitativo</t>
  </si>
  <si>
    <t>Porcentaje de hogares urbanos en condiciones de deficit de vivienda cuantitativo</t>
  </si>
  <si>
    <t>Municipios capacitados y/o apoyados técnicamente para la revisión de los planes de ordenamiento territorial - POT</t>
  </si>
  <si>
    <t>Municipios capacitados en la elaboración del inventario de asentamientos en zonas de alto riesgo</t>
  </si>
  <si>
    <t>Municipios capacitados en la incorporación de la gestión del riesgo en la revisión de sus POT</t>
  </si>
  <si>
    <t>VIS iniciadas en el programa "MI casa Ya"</t>
  </si>
  <si>
    <t>VIP iniciadas en el programa de vivienda gratis segunda fase</t>
  </si>
  <si>
    <t>VIP iniciadas en el programa de vivienda para ahorradores -VIPA</t>
  </si>
  <si>
    <t>VIP iniciadas en el programa de cobertura condicionada para créditos de vivienda segunda generación - "FRECH"</t>
  </si>
  <si>
    <t>Plan anual de Adquisiciones formulado y actualizado de acuerdo a los linemientos de Colombia Compra eficiente.</t>
  </si>
  <si>
    <t>ND</t>
  </si>
  <si>
    <t>Solicitudes recibidas / Solicitud atendidas * 100</t>
  </si>
  <si>
    <t>Realizar mínimo dos talleres anuales sobre las  resoluciones de carácter general expedidas por la CRA</t>
  </si>
  <si>
    <t>No. de talleres efectuados</t>
  </si>
  <si>
    <t xml:space="preserve">Elaboración y publicación del anteproyecto anual de presupuesto </t>
  </si>
  <si>
    <t>Informes mensual de seguimiento de Ejecución Presupuestal</t>
  </si>
  <si>
    <t>Porcentaje de avance sectorial  en la implementación de la Ley 1712/14 y el Decreto 1081/15.</t>
  </si>
  <si>
    <t>Cumplimiento sectorial con los requerimientos normativos en materia de Transparencia y Acceso a la Información Pública, establecidos en la Ley 1712/14 , el Decreto 1081/15 y la guia para el cumplimiento de la transparencia activa.</t>
  </si>
  <si>
    <t>Racionalización de los trámites y/o  otros procedimientos administrativos (servicios) y en las entidades del sector.</t>
  </si>
  <si>
    <t>Número de trámites y/o  otros procedimientos administrtaivos (servicios) de las entidades del sector racionalizados.</t>
  </si>
  <si>
    <t>Porcentaje de avance del programa de bienestar social e incentivos, formulado, implementado y publicado en la intranet.</t>
  </si>
  <si>
    <t>Cumplimiento sectorial a lo establecido en el art. 15 de la Ley 909 de 2.004 - Formular e implementar para cada entidad del sector, el Plan Estratégico de Recursos Humanos, de acuerdo con la metodología vigente y publicado en la página wen institucional.</t>
  </si>
  <si>
    <t>Porcentaje de avance del Plan Estrategico de recursos humanos  formulado, implementado y publicado en la página web institucional.</t>
  </si>
  <si>
    <t>Porcentaje de avance del Plan Institucional de Capacitación, formulado, implementado y publicado en la intranet.</t>
  </si>
  <si>
    <t>Porcentaje de avance del Plan Anticorrupción, formulado, publicado e implementado.</t>
  </si>
  <si>
    <t>Porcentaje de avance del Plan Anual de Empleos Vacantes actualizado y publicado en la página web institucional.</t>
  </si>
  <si>
    <t>Cumplimiento sectorial a lo establecido en el art. 15 de la Ley 909 de 2.004 - actualizar y publicar para las entidades obligadas del Sector, el Plan Anual de Empleos Vacantes, de acuerdo con la metodologia vigente y publicado en la página web institucional.</t>
  </si>
  <si>
    <t>Cumplimiento sectorial a lo establecido en la Ley 909 de 2.004 y el Decreto 1083 de 2015 - Formular e implementar  para cada entidad del sector, el Programa de bienestar social e incentivos de acuerdo con la metodología vigente  para cada entidad y Publicarlo en la Intranet.</t>
  </si>
  <si>
    <t>Número Créditos Aprobados para Vivienda.</t>
  </si>
  <si>
    <r>
      <t xml:space="preserve">Iniciar </t>
    </r>
    <r>
      <rPr>
        <b/>
        <sz val="18"/>
        <rFont val="Book Antiqua"/>
        <family val="1"/>
      </rPr>
      <t>33.500</t>
    </r>
    <r>
      <rPr>
        <sz val="18"/>
        <rFont val="Book Antiqua"/>
        <family val="1"/>
      </rPr>
      <t xml:space="preserve"> viviendas de interes prioritario en el programa de cobertura condicionada para créditos de vivienda segunda generación </t>
    </r>
    <r>
      <rPr>
        <b/>
        <sz val="18"/>
        <rFont val="Book Antiqua"/>
        <family val="1"/>
      </rPr>
      <t>FRECH</t>
    </r>
  </si>
  <si>
    <r>
      <t xml:space="preserve">Iniciar </t>
    </r>
    <r>
      <rPr>
        <b/>
        <sz val="18"/>
        <rFont val="Book Antiqua"/>
        <family val="1"/>
      </rPr>
      <t>20.000</t>
    </r>
    <r>
      <rPr>
        <sz val="18"/>
        <rFont val="Book Antiqua"/>
        <family val="1"/>
      </rPr>
      <t xml:space="preserve"> Viviendas de interés social iniciadas en el Programa de promoción y acceso a vivienda de interés social </t>
    </r>
    <r>
      <rPr>
        <b/>
        <sz val="18"/>
        <rFont val="Book Antiqua"/>
        <family val="1"/>
      </rPr>
      <t>- "Mi Casa Ya"</t>
    </r>
  </si>
  <si>
    <r>
      <t>Iniciar</t>
    </r>
    <r>
      <rPr>
        <b/>
        <sz val="18"/>
        <rFont val="Book Antiqua"/>
        <family val="1"/>
      </rPr>
      <t xml:space="preserve"> 500</t>
    </r>
    <r>
      <rPr>
        <sz val="18"/>
        <rFont val="Book Antiqua"/>
        <family val="1"/>
      </rPr>
      <t xml:space="preserve"> Viviendas de interés prioritario </t>
    </r>
    <r>
      <rPr>
        <b/>
        <sz val="18"/>
        <rFont val="Book Antiqua"/>
        <family val="1"/>
      </rPr>
      <t xml:space="preserve">programa de vivienda gratis </t>
    </r>
    <r>
      <rPr>
        <sz val="18"/>
        <rFont val="Book Antiqua"/>
        <family val="1"/>
      </rPr>
      <t>segunda fase</t>
    </r>
  </si>
  <si>
    <r>
      <t xml:space="preserve">Capacitar y/o apoyar </t>
    </r>
    <r>
      <rPr>
        <b/>
        <sz val="18"/>
        <color indexed="8"/>
        <rFont val="Book Antiqua"/>
        <family val="1"/>
      </rPr>
      <t xml:space="preserve">130 </t>
    </r>
    <r>
      <rPr>
        <sz val="18"/>
        <color indexed="8"/>
        <rFont val="Book Antiqua"/>
        <family val="1"/>
      </rPr>
      <t>municipios para la revisión de los POT</t>
    </r>
  </si>
  <si>
    <r>
      <t xml:space="preserve">Número Créditos Aprobados para Vivienda </t>
    </r>
    <r>
      <rPr>
        <b/>
        <sz val="18"/>
        <rFont val="Book Antiqua"/>
        <family val="1"/>
      </rPr>
      <t>46.200.</t>
    </r>
  </si>
  <si>
    <r>
      <t xml:space="preserve">Desarrollar en la vigencia dos </t>
    </r>
    <r>
      <rPr>
        <b/>
        <sz val="18"/>
        <rFont val="Book Antiqua"/>
        <family val="1"/>
      </rPr>
      <t>(2) talleres de divulgación</t>
    </r>
    <r>
      <rPr>
        <sz val="18"/>
        <rFont val="Book Antiqua"/>
        <family val="1"/>
      </rPr>
      <t xml:space="preserve"> sobre resoluciones de carácter general expedidas por la CRA   </t>
    </r>
  </si>
  <si>
    <r>
      <t xml:space="preserve">Disminuir de </t>
    </r>
    <r>
      <rPr>
        <b/>
        <sz val="18"/>
        <rFont val="Book Antiqua"/>
        <family val="1"/>
      </rPr>
      <t>6.75%  a 6,4%</t>
    </r>
    <r>
      <rPr>
        <sz val="18"/>
        <rFont val="Book Antiqua"/>
        <family val="1"/>
      </rPr>
      <t xml:space="preserve"> el porcentaje de hogares urbanos en condiciones de deficit de vivienda cuantitativo</t>
    </r>
  </si>
  <si>
    <r>
      <t xml:space="preserve">Disminuir de </t>
    </r>
    <r>
      <rPr>
        <b/>
        <sz val="18"/>
        <rFont val="Book Antiqua"/>
        <family val="1"/>
      </rPr>
      <t>10.97% a 10,8%</t>
    </r>
    <r>
      <rPr>
        <sz val="18"/>
        <rFont val="Book Antiqua"/>
        <family val="1"/>
      </rPr>
      <t xml:space="preserve"> el porcentaje de hogares urbanos en condiciones de deficit de vivienda cualitativo</t>
    </r>
  </si>
  <si>
    <r>
      <t xml:space="preserve">Formular e Implementar  para cada entidad del sector, el </t>
    </r>
    <r>
      <rPr>
        <b/>
        <sz val="18"/>
        <color indexed="8"/>
        <rFont val="Book Antiqua"/>
        <family val="1"/>
      </rPr>
      <t>Plan Anti Corrupción y de Atención al Ciudadano</t>
    </r>
    <r>
      <rPr>
        <sz val="18"/>
        <color indexed="8"/>
        <rFont val="Book Antiqua"/>
        <family val="1"/>
      </rPr>
      <t xml:space="preserve">, de acuerdo con la metodologia establecida y Publicarlo en la página WEB Institucional.                              </t>
    </r>
  </si>
  <si>
    <r>
      <t xml:space="preserve">Publicar en la página WEB  de cada entidad del sector, el </t>
    </r>
    <r>
      <rPr>
        <b/>
        <sz val="18"/>
        <color indexed="8"/>
        <rFont val="Book Antiqua"/>
        <family val="1"/>
      </rPr>
      <t>100%</t>
    </r>
    <r>
      <rPr>
        <sz val="18"/>
        <color indexed="8"/>
        <rFont val="Book Antiqua"/>
        <family val="1"/>
      </rPr>
      <t xml:space="preserve"> de los proyectos normativos,  las políticas,  planes y programas de competencia institucional, para consulta y participación  de grupos de interés y ciudadania en general.</t>
    </r>
  </si>
  <si>
    <r>
      <t xml:space="preserve">Realización de un </t>
    </r>
    <r>
      <rPr>
        <b/>
        <sz val="18"/>
        <color indexed="8"/>
        <rFont val="Book Antiqua"/>
        <family val="1"/>
      </rPr>
      <t>(1) foro virtual</t>
    </r>
    <r>
      <rPr>
        <sz val="18"/>
        <color indexed="8"/>
        <rFont val="Book Antiqua"/>
        <family val="1"/>
      </rPr>
      <t>, que permita la interacción  simultanea con la ciudadania y grupos de interés en general, en temas misionales, donde concurran  las tres entidades del sector.</t>
    </r>
  </si>
  <si>
    <r>
      <t xml:space="preserve">Participación Sectorial  en </t>
    </r>
    <r>
      <rPr>
        <b/>
        <sz val="18"/>
        <color indexed="8"/>
        <rFont val="Book Antiqua"/>
        <family val="1"/>
      </rPr>
      <t>Tres (3) ferias del servicio al ciudadano</t>
    </r>
    <r>
      <rPr>
        <sz val="18"/>
        <color indexed="8"/>
        <rFont val="Book Antiqua"/>
        <family val="1"/>
      </rPr>
      <t xml:space="preserve"> a nivel Nacional, donde concurran la tres entidades del sector.</t>
    </r>
  </si>
  <si>
    <r>
      <t xml:space="preserve">Prestar un Servicio de comunicación online, para transmitir información, atender
solicitudes y generar una interacción simultánea, en tiempo real con el ciudadano - mediante </t>
    </r>
    <r>
      <rPr>
        <b/>
        <sz val="18"/>
        <color indexed="8"/>
        <rFont val="Book Antiqua"/>
        <family val="1"/>
      </rPr>
      <t>CHAT -</t>
    </r>
    <r>
      <rPr>
        <sz val="18"/>
        <color indexed="8"/>
        <rFont val="Book Antiqua"/>
        <family val="1"/>
      </rPr>
      <t xml:space="preserve"> Atención virtual en el 100% de las horas programadas.</t>
    </r>
  </si>
  <si>
    <r>
      <t>Actualizar y publicar el P</t>
    </r>
    <r>
      <rPr>
        <b/>
        <sz val="18"/>
        <color indexed="8"/>
        <rFont val="Book Antiqua"/>
        <family val="1"/>
      </rPr>
      <t>rotocolo para la Atención al Ciudadano</t>
    </r>
    <r>
      <rPr>
        <sz val="18"/>
        <color indexed="8"/>
        <rFont val="Book Antiqua"/>
        <family val="1"/>
      </rPr>
      <t xml:space="preserve"> a nivel de las entidades del Sector </t>
    </r>
  </si>
  <si>
    <r>
      <t xml:space="preserve">Formulación y aplicación de una </t>
    </r>
    <r>
      <rPr>
        <b/>
        <sz val="18"/>
        <color indexed="8"/>
        <rFont val="Book Antiqua"/>
        <family val="1"/>
      </rPr>
      <t xml:space="preserve">(1)  encuesta  virtual </t>
    </r>
    <r>
      <rPr>
        <sz val="18"/>
        <color indexed="8"/>
        <rFont val="Book Antiqua"/>
        <family val="1"/>
      </rPr>
      <t>para medir la satisfacción del Ciudadano, en la prestación de los trámites y servicios brindados por cada entidad del  Sector, con informes de resultados publicados.</t>
    </r>
  </si>
  <si>
    <r>
      <t xml:space="preserve">Cumplimiento sectorial a lo establecido en el art. 15 de la Ley 909 de 2.004 - Formular e implementar para cada entidad del sector, el </t>
    </r>
    <r>
      <rPr>
        <b/>
        <sz val="18"/>
        <color indexed="8"/>
        <rFont val="Book Antiqua"/>
        <family val="1"/>
      </rPr>
      <t>Plan Estratégico de Recursos Humanos</t>
    </r>
    <r>
      <rPr>
        <sz val="18"/>
        <color indexed="8"/>
        <rFont val="Book Antiqua"/>
        <family val="1"/>
      </rPr>
      <t>, de acuerdo con la metodología vigente.</t>
    </r>
  </si>
  <si>
    <r>
      <t xml:space="preserve">Cumplimiento sectorial a lo establecido en el art. 17 de la Ley 909 de 2.004 - Formular, actualizar y reportar para las entidades obligadas del Sector, el </t>
    </r>
    <r>
      <rPr>
        <b/>
        <sz val="18"/>
        <color indexed="8"/>
        <rFont val="Book Antiqua"/>
        <family val="1"/>
      </rPr>
      <t>Plan Anual de Empleos Vacantes,</t>
    </r>
    <r>
      <rPr>
        <sz val="18"/>
        <color indexed="8"/>
        <rFont val="Book Antiqua"/>
        <family val="1"/>
      </rPr>
      <t xml:space="preserve"> de acuerdo con la metodologia vigente.</t>
    </r>
  </si>
  <si>
    <r>
      <t>Certificado vigente para cada entidad del sector en el</t>
    </r>
    <r>
      <rPr>
        <b/>
        <sz val="18"/>
        <color indexed="8"/>
        <rFont val="Book Antiqua"/>
        <family val="1"/>
      </rPr>
      <t xml:space="preserve"> Sistema de Gestión de Calidad,</t>
    </r>
    <r>
      <rPr>
        <sz val="18"/>
        <color indexed="8"/>
        <rFont val="Book Antiqua"/>
        <family val="1"/>
      </rPr>
      <t xml:space="preserve"> bajo los lineamientos de la Norma Técnica, conforme a cada entidad.</t>
    </r>
  </si>
  <si>
    <r>
      <rPr>
        <b/>
        <sz val="18"/>
        <color indexed="8"/>
        <rFont val="Book Antiqua"/>
        <family val="1"/>
      </rPr>
      <t xml:space="preserve">Racionalización de un (1) trámite, y/o Opas </t>
    </r>
    <r>
      <rPr>
        <sz val="18"/>
        <color indexed="8"/>
        <rFont val="Book Antiqua"/>
        <family val="1"/>
      </rPr>
      <t>(servicios) en la entidad.</t>
    </r>
  </si>
  <si>
    <r>
      <t>Actualizar e Implementar el P</t>
    </r>
    <r>
      <rPr>
        <b/>
        <sz val="18"/>
        <color indexed="8"/>
        <rFont val="Book Antiqua"/>
        <family val="1"/>
      </rPr>
      <t>lan del manejo de residuos de aparatos electricos y electrónicos (RAEE)</t>
    </r>
    <r>
      <rPr>
        <sz val="18"/>
        <color indexed="8"/>
        <rFont val="Book Antiqua"/>
        <family val="1"/>
      </rPr>
      <t>,  como lo establece la estrategia GEL (Decreto 2573 de 2.014).</t>
    </r>
  </si>
  <si>
    <r>
      <t xml:space="preserve">Formular e implementar el </t>
    </r>
    <r>
      <rPr>
        <b/>
        <sz val="18"/>
        <color indexed="8"/>
        <rFont val="Book Antiqua"/>
        <family val="1"/>
      </rPr>
      <t>Sistema de Gestión de la Seguridad de la Información</t>
    </r>
    <r>
      <rPr>
        <sz val="18"/>
        <color indexed="8"/>
        <rFont val="Book Antiqua"/>
        <family val="1"/>
      </rPr>
      <t xml:space="preserve"> acorde a los lineamientos del GEL, según lo establecido en el  Decreto 2573 de 2.014 </t>
    </r>
  </si>
  <si>
    <r>
      <t xml:space="preserve">Realizar doce </t>
    </r>
    <r>
      <rPr>
        <b/>
        <sz val="18"/>
        <color indexed="8"/>
        <rFont val="Book Antiqua"/>
        <family val="1"/>
      </rPr>
      <t>(12) informes de Ejecución presupuestal.</t>
    </r>
  </si>
  <si>
    <r>
      <rPr>
        <b/>
        <sz val="18"/>
        <color indexed="8"/>
        <rFont val="Book Antiqua"/>
        <family val="1"/>
      </rPr>
      <t>Ejecución del PAC</t>
    </r>
    <r>
      <rPr>
        <sz val="18"/>
        <color indexed="8"/>
        <rFont val="Book Antiqua"/>
        <family val="1"/>
      </rPr>
      <t xml:space="preserve"> en las entidades del sector, mayor o igual al 90%.</t>
    </r>
  </si>
  <si>
    <r>
      <rPr>
        <b/>
        <sz val="18"/>
        <color indexed="8"/>
        <rFont val="Book Antiqua"/>
        <family val="1"/>
      </rPr>
      <t xml:space="preserve">Informes de seguimiento trimestral (4) del avance físico </t>
    </r>
    <r>
      <rPr>
        <sz val="18"/>
        <color indexed="8"/>
        <rFont val="Book Antiqua"/>
        <family val="1"/>
      </rPr>
      <t>del producto de la entidad (SPI)</t>
    </r>
  </si>
  <si>
    <r>
      <rPr>
        <b/>
        <sz val="18"/>
        <color indexed="8"/>
        <rFont val="Book Antiqua"/>
        <family val="1"/>
      </rPr>
      <t xml:space="preserve">Informes de Seguimiento Trimestral (4) del avance de gestión </t>
    </r>
    <r>
      <rPr>
        <sz val="18"/>
        <color indexed="8"/>
        <rFont val="Book Antiqua"/>
        <family val="1"/>
      </rPr>
      <t>del producto de la entidad (SPI)</t>
    </r>
  </si>
  <si>
    <r>
      <t xml:space="preserve">Formular y actualizar el </t>
    </r>
    <r>
      <rPr>
        <b/>
        <sz val="18"/>
        <color indexed="8"/>
        <rFont val="Book Antiqua"/>
        <family val="1"/>
      </rPr>
      <t>Plan Anual de Adquisiciones</t>
    </r>
    <r>
      <rPr>
        <sz val="18"/>
        <color indexed="8"/>
        <rFont val="Book Antiqua"/>
        <family val="1"/>
      </rPr>
      <t>, de acuerdo a los linemientos de Colombia compra eficiente.</t>
    </r>
  </si>
  <si>
    <r>
      <t xml:space="preserve">Capacitar </t>
    </r>
    <r>
      <rPr>
        <b/>
        <sz val="18"/>
        <color indexed="8"/>
        <rFont val="Book Antiqua"/>
        <family val="1"/>
      </rPr>
      <t xml:space="preserve">80 </t>
    </r>
    <r>
      <rPr>
        <sz val="18"/>
        <color indexed="8"/>
        <rFont val="Book Antiqua"/>
        <family val="1"/>
      </rPr>
      <t>municipios en la elaboración del inventario de asentamientos en zonas de alto riesgo.</t>
    </r>
  </si>
  <si>
    <t xml:space="preserve">Asistencias técnicas a través de Transferencia de conocimiento, desarrollo de habilidades en procesos administrativos y técnicos por medio de Talleres, reuniones, Capacitaciones, Foros, Seminarios para la gestión de proyectos del sector de agua potable y saneamiento básico.
</t>
  </si>
  <si>
    <t>90% Respuestas a solicitudes de los requerimientos sobre consultas de atención regulatoria.</t>
  </si>
  <si>
    <r>
      <t xml:space="preserve">Cumplimiento sectorial  del 100% de los requerimientos normativos en materia de </t>
    </r>
    <r>
      <rPr>
        <b/>
        <sz val="16"/>
        <color indexed="8"/>
        <rFont val="Book Antiqua"/>
        <family val="1"/>
      </rPr>
      <t>Transparencia y Acceso a la Información Pública</t>
    </r>
    <r>
      <rPr>
        <sz val="16"/>
        <color indexed="8"/>
        <rFont val="Book Antiqua"/>
        <family val="1"/>
      </rPr>
      <t>, establecidos en la Ley 1712/14, el Decreto 1081/15 y la guia para el cumplimiento de la transparencia activa.</t>
    </r>
  </si>
  <si>
    <r>
      <t xml:space="preserve">Cumplimiento sectorial a lo establecido en el art. 36 de la Ley 909 de 2.004 y el Decreto No. 4665 de 2,007 - Formular e implementar para cada entidad del sector, el </t>
    </r>
    <r>
      <rPr>
        <b/>
        <sz val="16"/>
        <color indexed="8"/>
        <rFont val="Book Antiqua"/>
        <family val="1"/>
      </rPr>
      <t xml:space="preserve">Plan Institucional de Capacitación, </t>
    </r>
    <r>
      <rPr>
        <sz val="16"/>
        <color indexed="8"/>
        <rFont val="Book Antiqua"/>
        <family val="1"/>
      </rPr>
      <t>de acuerdo con la metodologia vigente para cada entidad y Publicarlo en la Intranet.</t>
    </r>
  </si>
  <si>
    <r>
      <t xml:space="preserve">Cumplimiento sectorial a lo establecido en la Ley 909 de 2.004 y los Decretos No. 1227 de 2,005 y 4661 de 2.005 - Formular e implementar  para cada entidad del sector, el </t>
    </r>
    <r>
      <rPr>
        <b/>
        <sz val="16"/>
        <color indexed="8"/>
        <rFont val="Book Antiqua"/>
        <family val="1"/>
      </rPr>
      <t xml:space="preserve">Programa de Bienestar Social e Incentivos </t>
    </r>
    <r>
      <rPr>
        <sz val="16"/>
        <color indexed="8"/>
        <rFont val="Book Antiqua"/>
        <family val="1"/>
      </rPr>
      <t>de acuerdo con la metodología vigente  para cada entidad y Publicarlo en la Intranet.</t>
    </r>
  </si>
  <si>
    <r>
      <t xml:space="preserve">Capacitar  </t>
    </r>
    <r>
      <rPr>
        <b/>
        <sz val="18"/>
        <rFont val="Book Antiqua"/>
        <family val="1"/>
      </rPr>
      <t xml:space="preserve">130 </t>
    </r>
    <r>
      <rPr>
        <sz val="18"/>
        <rFont val="Book Antiqua"/>
        <family val="1"/>
      </rPr>
      <t>Municipios  en la incorporación de la gestión del riesgo en la revisión de sus POT</t>
    </r>
  </si>
  <si>
    <t xml:space="preserve">La entidad se encuentra en el proceso de diseño de la encuesta que aplicaría para evaluar la satisfacción de los trámites y opas brindados.
Con corte a 31 de marzo de 2016 el avance de la entidad es del 0% </t>
  </si>
  <si>
    <t>Formulación y aplicación de encuestas  virtuales para medir la satisfacción del Ciudadano, en la prestación de los trámites y Opas (servicios) brindados por cada entidad del  Sector, con informes de resultados publicados.</t>
  </si>
  <si>
    <r>
      <t xml:space="preserve">Número de Afiliados por Cesantías y AVC </t>
    </r>
    <r>
      <rPr>
        <b/>
        <sz val="18"/>
        <rFont val="Book Antiqua"/>
        <family val="1"/>
      </rPr>
      <t>2.093.749</t>
    </r>
  </si>
  <si>
    <t>A cierre del 31/12/15 el FNA contaba con 1,793,918 afiliados por Cesantías y AVC, durante el primer trimestre de la presente vigencia, el Fondo cuenta con un total de 1.901.843 afiliados.</t>
  </si>
  <si>
    <t>Con corte al  31 de Marzo de 2016 fueron aprobados 8.330 créditos para vivienda.</t>
  </si>
  <si>
    <t>En lo concerniente al programa nacional de servicio al ciudadano el FNA asistirá a las 6 Ferias propuestas con el fin de atender la necesidad de vivienda y educación que tienen las poblaciones señaladas. Primera feria a celebrarse en el mes de Junio de 2016.</t>
  </si>
  <si>
    <t>Se programó primera reunión sectorial, para determinar plan de acción en el mes de Abril.</t>
  </si>
  <si>
    <t>Se contrata auditoria de seguimiento por parte de icontec con el fin de verificar el cumplimiento permanente del sistema de gestión con los requisitos de la ntcgp 1000:2009, e iso 9001:2008.</t>
  </si>
  <si>
    <t>Se realizó la identificación de los flujos para los 25 trámites.
Revisión y actualización del formulario único de Afiliación.
Revisión de flujos para el trámite de crédito hipotecario según su finalidad.</t>
  </si>
  <si>
    <t>Se encuentra en la fase de elaboración de estudio de necesidad y estudio técnico para realizar el estudio de mercado para contratar el servicio especializado.</t>
  </si>
  <si>
    <r>
      <rPr>
        <b/>
        <sz val="18"/>
        <rFont val="Book Antiqua"/>
        <family val="1"/>
      </rPr>
      <t>MVCT :</t>
    </r>
    <r>
      <rPr>
        <b/>
        <sz val="15"/>
        <rFont val="Book Antiqua"/>
        <family val="1"/>
      </rPr>
      <t xml:space="preserve"> </t>
    </r>
    <r>
      <rPr>
        <sz val="15"/>
        <rFont val="Book Antiqua"/>
        <family val="1"/>
      </rPr>
      <t>DIVIS</t>
    </r>
  </si>
  <si>
    <r>
      <rPr>
        <b/>
        <sz val="18"/>
        <rFont val="Book Antiqua"/>
        <family val="1"/>
      </rPr>
      <t>MVCT :</t>
    </r>
    <r>
      <rPr>
        <b/>
        <sz val="15"/>
        <rFont val="Book Antiqua"/>
        <family val="1"/>
      </rPr>
      <t xml:space="preserve"> </t>
    </r>
    <r>
      <rPr>
        <sz val="15"/>
        <rFont val="Book Antiqua"/>
        <family val="1"/>
      </rPr>
      <t>DEUT</t>
    </r>
  </si>
  <si>
    <r>
      <rPr>
        <b/>
        <sz val="18"/>
        <rFont val="Book Antiqua"/>
        <family val="1"/>
      </rPr>
      <t xml:space="preserve">MVCT: </t>
    </r>
    <r>
      <rPr>
        <sz val="15"/>
        <rFont val="Book Antiqua"/>
        <family val="1"/>
      </rPr>
      <t xml:space="preserve">  DEUT</t>
    </r>
  </si>
  <si>
    <r>
      <rPr>
        <b/>
        <sz val="18"/>
        <rFont val="Book Antiqua"/>
        <family val="1"/>
      </rPr>
      <t>MVCT:</t>
    </r>
    <r>
      <rPr>
        <b/>
        <sz val="15"/>
        <rFont val="Book Antiqua"/>
        <family val="1"/>
      </rPr>
      <t xml:space="preserve"> </t>
    </r>
    <r>
      <rPr>
        <sz val="15"/>
        <rFont val="Book Antiqua"/>
        <family val="1"/>
      </rPr>
      <t xml:space="preserve"> DEUT</t>
    </r>
  </si>
  <si>
    <r>
      <rPr>
        <b/>
        <sz val="18"/>
        <rFont val="Book Antiqua"/>
        <family val="1"/>
      </rPr>
      <t xml:space="preserve">MVCT </t>
    </r>
    <r>
      <rPr>
        <sz val="18"/>
        <rFont val="Book Antiqua"/>
        <family val="1"/>
      </rPr>
      <t>-</t>
    </r>
    <r>
      <rPr>
        <sz val="15"/>
        <rFont val="Book Antiqua"/>
        <family val="1"/>
      </rPr>
      <t xml:space="preserve"> Subdirección de Proyectos - Dirección de Programas</t>
    </r>
  </si>
  <si>
    <r>
      <rPr>
        <b/>
        <sz val="18"/>
        <rFont val="Book Antiqua"/>
        <family val="1"/>
      </rPr>
      <t>MVCT -</t>
    </r>
    <r>
      <rPr>
        <sz val="15"/>
        <rFont val="Book Antiqua"/>
        <family val="1"/>
      </rPr>
      <t xml:space="preserve"> Subdirección de Proyectos - Dirección de Programas</t>
    </r>
  </si>
  <si>
    <r>
      <rPr>
        <b/>
        <sz val="18"/>
        <rFont val="Book Antiqua"/>
        <family val="1"/>
      </rPr>
      <t>CRA:</t>
    </r>
    <r>
      <rPr>
        <sz val="18"/>
        <rFont val="Book Antiqua"/>
        <family val="1"/>
      </rPr>
      <t xml:space="preserve">   </t>
    </r>
    <r>
      <rPr>
        <sz val="15"/>
        <rFont val="Book Antiqua"/>
        <family val="1"/>
      </rPr>
      <t xml:space="preserve">Director Ejecutivo </t>
    </r>
  </si>
  <si>
    <r>
      <rPr>
        <b/>
        <sz val="18"/>
        <rFont val="Book Antiqua"/>
        <family val="1"/>
      </rPr>
      <t>CRA</t>
    </r>
    <r>
      <rPr>
        <sz val="18"/>
        <rFont val="Book Antiqua"/>
        <family val="1"/>
      </rPr>
      <t xml:space="preserve">: </t>
    </r>
    <r>
      <rPr>
        <sz val="15"/>
        <rFont val="Book Antiqua"/>
        <family val="1"/>
      </rPr>
      <t xml:space="preserve"> Director Ejecutivo </t>
    </r>
  </si>
  <si>
    <r>
      <rPr>
        <b/>
        <sz val="18"/>
        <rFont val="Book Antiqua"/>
        <family val="1"/>
      </rPr>
      <t xml:space="preserve">MVCT : </t>
    </r>
    <r>
      <rPr>
        <b/>
        <sz val="15"/>
        <rFont val="Book Antiqua"/>
        <family val="1"/>
      </rPr>
      <t xml:space="preserve"> </t>
    </r>
    <r>
      <rPr>
        <sz val="15"/>
        <rFont val="Book Antiqua"/>
        <family val="1"/>
      </rPr>
      <t>DSH</t>
    </r>
  </si>
  <si>
    <r>
      <rPr>
        <b/>
        <sz val="18"/>
        <rFont val="Book Antiqua"/>
        <family val="1"/>
      </rPr>
      <t>MVCT :</t>
    </r>
    <r>
      <rPr>
        <sz val="18"/>
        <rFont val="Book Antiqua"/>
        <family val="1"/>
      </rPr>
      <t xml:space="preserve"> </t>
    </r>
    <r>
      <rPr>
        <sz val="15"/>
        <rFont val="Book Antiqua"/>
        <family val="1"/>
      </rPr>
      <t xml:space="preserve">   DSH</t>
    </r>
  </si>
  <si>
    <r>
      <rPr>
        <b/>
        <sz val="18"/>
        <color indexed="8"/>
        <rFont val="Book Antiqua"/>
        <family val="1"/>
      </rPr>
      <t>MVCT</t>
    </r>
    <r>
      <rPr>
        <sz val="18"/>
        <color indexed="8"/>
        <rFont val="Book Antiqua"/>
        <family val="1"/>
      </rPr>
      <t xml:space="preserve"> : </t>
    </r>
    <r>
      <rPr>
        <sz val="15"/>
        <color indexed="8"/>
        <rFont val="Book Antiqua"/>
        <family val="1"/>
      </rPr>
      <t>Oficina Asesora de Planaeación, Jefe OAP</t>
    </r>
  </si>
  <si>
    <r>
      <rPr>
        <b/>
        <sz val="18"/>
        <color indexed="8"/>
        <rFont val="Book Antiqua"/>
        <family val="1"/>
      </rPr>
      <t>FNA</t>
    </r>
    <r>
      <rPr>
        <sz val="18"/>
        <color indexed="8"/>
        <rFont val="Book Antiqua"/>
        <family val="1"/>
      </rPr>
      <t xml:space="preserve"> :</t>
    </r>
    <r>
      <rPr>
        <sz val="15"/>
        <color indexed="8"/>
        <rFont val="Book Antiqua"/>
        <family val="1"/>
      </rPr>
      <t xml:space="preserve">  Oficina Asesora de Planeación, Jefe OAP</t>
    </r>
  </si>
  <si>
    <r>
      <rPr>
        <b/>
        <sz val="18"/>
        <color indexed="8"/>
        <rFont val="Book Antiqua"/>
        <family val="1"/>
      </rPr>
      <t>CRA</t>
    </r>
    <r>
      <rPr>
        <sz val="18"/>
        <color indexed="8"/>
        <rFont val="Book Antiqua"/>
        <family val="1"/>
      </rPr>
      <t xml:space="preserve"> :  </t>
    </r>
    <r>
      <rPr>
        <sz val="15"/>
        <color indexed="8"/>
        <rFont val="Book Antiqua"/>
        <family val="1"/>
      </rPr>
      <t xml:space="preserve"> Oficina Asesora de Planeación - Jefe OAP</t>
    </r>
  </si>
  <si>
    <r>
      <rPr>
        <b/>
        <sz val="18"/>
        <color indexed="8"/>
        <rFont val="Book Antiqua"/>
        <family val="1"/>
      </rPr>
      <t xml:space="preserve">FNA :     </t>
    </r>
    <r>
      <rPr>
        <b/>
        <sz val="15"/>
        <color indexed="8"/>
        <rFont val="Book Antiqua"/>
        <family val="1"/>
      </rPr>
      <t xml:space="preserve"> </t>
    </r>
    <r>
      <rPr>
        <sz val="15"/>
        <color indexed="8"/>
        <rFont val="Book Antiqua"/>
        <family val="1"/>
      </rPr>
      <t>OAP - Secretaria General.</t>
    </r>
  </si>
  <si>
    <r>
      <rPr>
        <b/>
        <sz val="18"/>
        <color indexed="8"/>
        <rFont val="Book Antiqua"/>
        <family val="1"/>
      </rPr>
      <t xml:space="preserve">CRA :      </t>
    </r>
    <r>
      <rPr>
        <b/>
        <sz val="15"/>
        <color indexed="8"/>
        <rFont val="Book Antiqua"/>
        <family val="1"/>
      </rPr>
      <t xml:space="preserve">  </t>
    </r>
    <r>
      <rPr>
        <sz val="15"/>
        <color indexed="8"/>
        <rFont val="Book Antiqua"/>
        <family val="1"/>
      </rPr>
      <t>SAF -OAP</t>
    </r>
  </si>
  <si>
    <r>
      <rPr>
        <b/>
        <sz val="18"/>
        <color indexed="8"/>
        <rFont val="Book Antiqua"/>
        <family val="1"/>
      </rPr>
      <t>FNA :</t>
    </r>
    <r>
      <rPr>
        <b/>
        <sz val="15"/>
        <color indexed="8"/>
        <rFont val="Book Antiqua"/>
        <family val="1"/>
      </rPr>
      <t xml:space="preserve">       </t>
    </r>
    <r>
      <rPr>
        <sz val="15"/>
        <color indexed="8"/>
        <rFont val="Book Antiqua"/>
        <family val="1"/>
      </rPr>
      <t>OAP</t>
    </r>
  </si>
  <si>
    <r>
      <rPr>
        <b/>
        <sz val="18"/>
        <color indexed="8"/>
        <rFont val="Book Antiqua"/>
        <family val="1"/>
      </rPr>
      <t xml:space="preserve">CRA : </t>
    </r>
    <r>
      <rPr>
        <b/>
        <sz val="15"/>
        <color indexed="8"/>
        <rFont val="Book Antiqua"/>
        <family val="1"/>
      </rPr>
      <t xml:space="preserve">   </t>
    </r>
    <r>
      <rPr>
        <sz val="15"/>
        <color indexed="8"/>
        <rFont val="Book Antiqua"/>
        <family val="1"/>
      </rPr>
      <t>Director Ejecutivo, Jefe OAP</t>
    </r>
  </si>
  <si>
    <r>
      <rPr>
        <b/>
        <sz val="18"/>
        <color indexed="8"/>
        <rFont val="Book Antiqua"/>
        <family val="1"/>
      </rPr>
      <t xml:space="preserve">MVCT: </t>
    </r>
    <r>
      <rPr>
        <sz val="15"/>
        <color indexed="8"/>
        <rFont val="Book Antiqua"/>
        <family val="1"/>
      </rPr>
      <t>Viceministros de Vivienda  y Agua Potable y Saneamiento Básico - TIC</t>
    </r>
  </si>
  <si>
    <r>
      <rPr>
        <b/>
        <sz val="18"/>
        <color indexed="8"/>
        <rFont val="Book Antiqua"/>
        <family val="1"/>
      </rPr>
      <t>FNA</t>
    </r>
    <r>
      <rPr>
        <sz val="18"/>
        <color indexed="8"/>
        <rFont val="Book Antiqua"/>
        <family val="1"/>
      </rPr>
      <t xml:space="preserve"> :</t>
    </r>
    <r>
      <rPr>
        <sz val="15"/>
        <color indexed="8"/>
        <rFont val="Book Antiqua"/>
        <family val="1"/>
      </rPr>
      <t xml:space="preserve"> Centro de Estudios</t>
    </r>
  </si>
  <si>
    <r>
      <rPr>
        <b/>
        <sz val="18"/>
        <color indexed="8"/>
        <rFont val="Book Antiqua"/>
        <family val="1"/>
      </rPr>
      <t xml:space="preserve">CRA: </t>
    </r>
    <r>
      <rPr>
        <sz val="15"/>
        <color indexed="8"/>
        <rFont val="Book Antiqua"/>
        <family val="1"/>
      </rPr>
      <t xml:space="preserve">Subdirección. Regulación, OAP </t>
    </r>
  </si>
  <si>
    <r>
      <rPr>
        <b/>
        <sz val="18"/>
        <color indexed="8"/>
        <rFont val="Book Antiqua"/>
        <family val="1"/>
      </rPr>
      <t>MVCT</t>
    </r>
    <r>
      <rPr>
        <sz val="18"/>
        <color indexed="8"/>
        <rFont val="Book Antiqua"/>
        <family val="1"/>
      </rPr>
      <t xml:space="preserve"> : </t>
    </r>
    <r>
      <rPr>
        <sz val="15"/>
        <color indexed="8"/>
        <rFont val="Book Antiqua"/>
        <family val="1"/>
      </rPr>
      <t>Despacho Ministerio - Grupo interdisciplinario.</t>
    </r>
  </si>
  <si>
    <r>
      <rPr>
        <b/>
        <sz val="18"/>
        <color indexed="8"/>
        <rFont val="Book Antiqua"/>
        <family val="1"/>
      </rPr>
      <t>FNA</t>
    </r>
    <r>
      <rPr>
        <sz val="18"/>
        <color indexed="8"/>
        <rFont val="Book Antiqua"/>
        <family val="1"/>
      </rPr>
      <t xml:space="preserve"> : </t>
    </r>
    <r>
      <rPr>
        <sz val="15"/>
        <color indexed="8"/>
        <rFont val="Book Antiqua"/>
        <family val="1"/>
      </rPr>
      <t xml:space="preserve"> OAP</t>
    </r>
  </si>
  <si>
    <r>
      <rPr>
        <b/>
        <sz val="18"/>
        <color indexed="8"/>
        <rFont val="Book Antiqua"/>
        <family val="1"/>
      </rPr>
      <t>CRA</t>
    </r>
    <r>
      <rPr>
        <sz val="18"/>
        <color indexed="8"/>
        <rFont val="Book Antiqua"/>
        <family val="1"/>
      </rPr>
      <t xml:space="preserve"> : </t>
    </r>
    <r>
      <rPr>
        <sz val="15"/>
        <color indexed="8"/>
        <rFont val="Book Antiqua"/>
        <family val="1"/>
      </rPr>
      <t>Dirección Ejecutiva - OAP</t>
    </r>
  </si>
  <si>
    <r>
      <rPr>
        <b/>
        <sz val="18"/>
        <color indexed="8"/>
        <rFont val="Book Antiqua"/>
        <family val="1"/>
      </rPr>
      <t>MVCT</t>
    </r>
    <r>
      <rPr>
        <sz val="18"/>
        <color indexed="8"/>
        <rFont val="Book Antiqua"/>
        <family val="1"/>
      </rPr>
      <t xml:space="preserve"> : </t>
    </r>
    <r>
      <rPr>
        <sz val="15"/>
        <color indexed="8"/>
        <rFont val="Book Antiqua"/>
        <family val="1"/>
      </rPr>
      <t>Secretaría General -  Grupo de Atención al Usuario y Archivo - Viceministerios</t>
    </r>
  </si>
  <si>
    <r>
      <rPr>
        <b/>
        <sz val="18"/>
        <color indexed="8"/>
        <rFont val="Book Antiqua"/>
        <family val="1"/>
      </rPr>
      <t>FNA :</t>
    </r>
    <r>
      <rPr>
        <b/>
        <sz val="15"/>
        <color indexed="8"/>
        <rFont val="Book Antiqua"/>
        <family val="1"/>
      </rPr>
      <t xml:space="preserve">    </t>
    </r>
    <r>
      <rPr>
        <sz val="15"/>
        <color indexed="8"/>
        <rFont val="Book Antiqua"/>
        <family val="1"/>
      </rPr>
      <t>Oficina comercial y mercadeo</t>
    </r>
  </si>
  <si>
    <r>
      <rPr>
        <b/>
        <sz val="18"/>
        <color indexed="8"/>
        <rFont val="Book Antiqua"/>
        <family val="1"/>
      </rPr>
      <t xml:space="preserve">CRA: </t>
    </r>
    <r>
      <rPr>
        <b/>
        <sz val="15"/>
        <color indexed="8"/>
        <rFont val="Book Antiqua"/>
        <family val="1"/>
      </rPr>
      <t xml:space="preserve"> </t>
    </r>
    <r>
      <rPr>
        <sz val="15"/>
        <color indexed="8"/>
        <rFont val="Book Antiqua"/>
        <family val="1"/>
      </rPr>
      <t>Dirección Ejecutiva -  SR -OAP</t>
    </r>
  </si>
  <si>
    <r>
      <rPr>
        <b/>
        <sz val="18"/>
        <color indexed="8"/>
        <rFont val="Book Antiqua"/>
        <family val="1"/>
      </rPr>
      <t>MVCT</t>
    </r>
    <r>
      <rPr>
        <sz val="18"/>
        <color indexed="8"/>
        <rFont val="Book Antiqua"/>
        <family val="1"/>
      </rPr>
      <t xml:space="preserve"> :</t>
    </r>
    <r>
      <rPr>
        <sz val="15"/>
        <color indexed="8"/>
        <rFont val="Book Antiqua"/>
        <family val="1"/>
      </rPr>
      <t xml:space="preserve"> Secretaría General -  Grupo de Atención al Usuario y Archivo</t>
    </r>
  </si>
  <si>
    <r>
      <rPr>
        <b/>
        <sz val="18"/>
        <color indexed="8"/>
        <rFont val="Book Antiqua"/>
        <family val="1"/>
      </rPr>
      <t xml:space="preserve">FNA :   </t>
    </r>
    <r>
      <rPr>
        <sz val="15"/>
        <color indexed="8"/>
        <rFont val="Book Antiqua"/>
        <family val="1"/>
      </rPr>
      <t>Oficina comercial y mercadeo - OAP</t>
    </r>
  </si>
  <si>
    <r>
      <rPr>
        <b/>
        <sz val="18"/>
        <color indexed="8"/>
        <rFont val="Book Antiqua"/>
        <family val="1"/>
      </rPr>
      <t>CRA :</t>
    </r>
    <r>
      <rPr>
        <b/>
        <sz val="15"/>
        <color indexed="8"/>
        <rFont val="Book Antiqua"/>
        <family val="1"/>
      </rPr>
      <t xml:space="preserve">      </t>
    </r>
    <r>
      <rPr>
        <sz val="15"/>
        <color indexed="8"/>
        <rFont val="Book Antiqua"/>
        <family val="1"/>
      </rPr>
      <t>OAP</t>
    </r>
  </si>
  <si>
    <r>
      <rPr>
        <b/>
        <sz val="18"/>
        <color indexed="8"/>
        <rFont val="Book Antiqua"/>
        <family val="1"/>
      </rPr>
      <t>FNA :</t>
    </r>
    <r>
      <rPr>
        <b/>
        <sz val="15"/>
        <color indexed="8"/>
        <rFont val="Book Antiqua"/>
        <family val="1"/>
      </rPr>
      <t xml:space="preserve"> </t>
    </r>
    <r>
      <rPr>
        <sz val="15"/>
        <color indexed="8"/>
        <rFont val="Book Antiqua"/>
        <family val="1"/>
      </rPr>
      <t>SAC</t>
    </r>
  </si>
  <si>
    <r>
      <rPr>
        <b/>
        <sz val="18"/>
        <color indexed="8"/>
        <rFont val="Book Antiqua"/>
        <family val="1"/>
      </rPr>
      <t>CRA :</t>
    </r>
    <r>
      <rPr>
        <b/>
        <sz val="15"/>
        <color indexed="8"/>
        <rFont val="Book Antiqua"/>
        <family val="1"/>
      </rPr>
      <t xml:space="preserve">            </t>
    </r>
    <r>
      <rPr>
        <sz val="15"/>
        <color indexed="8"/>
        <rFont val="Book Antiqua"/>
        <family val="1"/>
      </rPr>
      <t>Jefe OAP</t>
    </r>
  </si>
  <si>
    <r>
      <rPr>
        <b/>
        <sz val="18"/>
        <color indexed="8"/>
        <rFont val="Book Antiqua"/>
        <family val="1"/>
      </rPr>
      <t>FNA :</t>
    </r>
    <r>
      <rPr>
        <b/>
        <sz val="15"/>
        <color indexed="8"/>
        <rFont val="Book Antiqua"/>
        <family val="1"/>
      </rPr>
      <t xml:space="preserve">  </t>
    </r>
    <r>
      <rPr>
        <sz val="15"/>
        <color indexed="8"/>
        <rFont val="Book Antiqua"/>
        <family val="1"/>
      </rPr>
      <t xml:space="preserve"> SAC</t>
    </r>
  </si>
  <si>
    <r>
      <rPr>
        <b/>
        <sz val="18"/>
        <color indexed="8"/>
        <rFont val="Book Antiqua"/>
        <family val="1"/>
      </rPr>
      <t xml:space="preserve">CRA: </t>
    </r>
    <r>
      <rPr>
        <b/>
        <sz val="15"/>
        <color indexed="8"/>
        <rFont val="Book Antiqua"/>
        <family val="1"/>
      </rPr>
      <t xml:space="preserve">            </t>
    </r>
    <r>
      <rPr>
        <sz val="15"/>
        <color indexed="8"/>
        <rFont val="Book Antiqua"/>
        <family val="1"/>
      </rPr>
      <t>Jefe OAP</t>
    </r>
  </si>
  <si>
    <r>
      <rPr>
        <b/>
        <sz val="18"/>
        <color indexed="8"/>
        <rFont val="Book Antiqua"/>
        <family val="1"/>
      </rPr>
      <t>MVCT</t>
    </r>
    <r>
      <rPr>
        <sz val="18"/>
        <color indexed="8"/>
        <rFont val="Book Antiqua"/>
        <family val="1"/>
      </rPr>
      <t xml:space="preserve"> : </t>
    </r>
    <r>
      <rPr>
        <sz val="15"/>
        <color indexed="8"/>
        <rFont val="Book Antiqua"/>
        <family val="1"/>
      </rPr>
      <t xml:space="preserve"> Grupo Talento Humano</t>
    </r>
  </si>
  <si>
    <r>
      <rPr>
        <b/>
        <sz val="18"/>
        <color indexed="8"/>
        <rFont val="Book Antiqua"/>
        <family val="1"/>
      </rPr>
      <t>FNA :</t>
    </r>
    <r>
      <rPr>
        <b/>
        <sz val="15"/>
        <color indexed="8"/>
        <rFont val="Book Antiqua"/>
        <family val="1"/>
      </rPr>
      <t xml:space="preserve">   </t>
    </r>
    <r>
      <rPr>
        <sz val="15"/>
        <color indexed="8"/>
        <rFont val="Book Antiqua"/>
        <family val="1"/>
      </rPr>
      <t>División de Gestión Humana</t>
    </r>
  </si>
  <si>
    <r>
      <rPr>
        <b/>
        <sz val="18"/>
        <color indexed="8"/>
        <rFont val="Book Antiqua"/>
        <family val="1"/>
      </rPr>
      <t xml:space="preserve">CRA:  </t>
    </r>
    <r>
      <rPr>
        <sz val="15"/>
        <color indexed="8"/>
        <rFont val="Book Antiqua"/>
        <family val="1"/>
      </rPr>
      <t>Subdirección Adtiva. y Financiera</t>
    </r>
  </si>
  <si>
    <r>
      <rPr>
        <b/>
        <sz val="18"/>
        <color indexed="8"/>
        <rFont val="Book Antiqua"/>
        <family val="1"/>
      </rPr>
      <t>CRA :</t>
    </r>
    <r>
      <rPr>
        <b/>
        <sz val="15"/>
        <color indexed="8"/>
        <rFont val="Book Antiqua"/>
        <family val="1"/>
      </rPr>
      <t xml:space="preserve"> </t>
    </r>
    <r>
      <rPr>
        <sz val="15"/>
        <color indexed="8"/>
        <rFont val="Book Antiqua"/>
        <family val="1"/>
      </rPr>
      <t>Subdirección Adtiva. y Financiera</t>
    </r>
  </si>
  <si>
    <r>
      <rPr>
        <b/>
        <sz val="18"/>
        <color indexed="8"/>
        <rFont val="Book Antiqua"/>
        <family val="1"/>
      </rPr>
      <t>MVCT</t>
    </r>
    <r>
      <rPr>
        <sz val="18"/>
        <color indexed="8"/>
        <rFont val="Book Antiqua"/>
        <family val="1"/>
      </rPr>
      <t xml:space="preserve"> :</t>
    </r>
    <r>
      <rPr>
        <sz val="15"/>
        <color indexed="8"/>
        <rFont val="Book Antiqua"/>
        <family val="1"/>
      </rPr>
      <t xml:space="preserve">  Grupo Talento Humano</t>
    </r>
  </si>
  <si>
    <r>
      <rPr>
        <b/>
        <sz val="18"/>
        <color indexed="8"/>
        <rFont val="Book Antiqua"/>
        <family val="1"/>
      </rPr>
      <t xml:space="preserve">CRA : </t>
    </r>
    <r>
      <rPr>
        <sz val="15"/>
        <color indexed="8"/>
        <rFont val="Book Antiqua"/>
        <family val="1"/>
      </rPr>
      <t>Subdirección Adtiva. y Financiera</t>
    </r>
  </si>
  <si>
    <r>
      <rPr>
        <b/>
        <sz val="18"/>
        <color indexed="8"/>
        <rFont val="Book Antiqua"/>
        <family val="1"/>
      </rPr>
      <t xml:space="preserve">MVCT:   </t>
    </r>
    <r>
      <rPr>
        <sz val="15"/>
        <color indexed="8"/>
        <rFont val="Book Antiqua"/>
        <family val="1"/>
      </rPr>
      <t xml:space="preserve"> Grupo Talento Humano</t>
    </r>
  </si>
  <si>
    <r>
      <rPr>
        <b/>
        <sz val="18"/>
        <color indexed="8"/>
        <rFont val="Book Antiqua"/>
        <family val="1"/>
      </rPr>
      <t xml:space="preserve">FNA : </t>
    </r>
    <r>
      <rPr>
        <b/>
        <sz val="15"/>
        <color indexed="8"/>
        <rFont val="Book Antiqua"/>
        <family val="1"/>
      </rPr>
      <t xml:space="preserve">  </t>
    </r>
    <r>
      <rPr>
        <sz val="15"/>
        <color indexed="8"/>
        <rFont val="Book Antiqua"/>
        <family val="1"/>
      </rPr>
      <t>División de Gestión Humana</t>
    </r>
  </si>
  <si>
    <r>
      <rPr>
        <b/>
        <sz val="18"/>
        <color indexed="8"/>
        <rFont val="Book Antiqua"/>
        <family val="1"/>
      </rPr>
      <t xml:space="preserve">CRA : </t>
    </r>
    <r>
      <rPr>
        <b/>
        <sz val="15"/>
        <color indexed="8"/>
        <rFont val="Book Antiqua"/>
        <family val="1"/>
      </rPr>
      <t xml:space="preserve">  </t>
    </r>
    <r>
      <rPr>
        <sz val="15"/>
        <color indexed="8"/>
        <rFont val="Book Antiqua"/>
        <family val="1"/>
      </rPr>
      <t>Subdirección Adtiva. y Financiera</t>
    </r>
  </si>
  <si>
    <r>
      <rPr>
        <b/>
        <sz val="18"/>
        <color indexed="8"/>
        <rFont val="Book Antiqua"/>
        <family val="1"/>
      </rPr>
      <t xml:space="preserve">MVCT </t>
    </r>
    <r>
      <rPr>
        <b/>
        <sz val="15"/>
        <color indexed="8"/>
        <rFont val="Book Antiqua"/>
        <family val="1"/>
      </rPr>
      <t xml:space="preserve">:      </t>
    </r>
    <r>
      <rPr>
        <sz val="15"/>
        <color indexed="8"/>
        <rFont val="Book Antiqua"/>
        <family val="1"/>
      </rPr>
      <t xml:space="preserve"> OAP</t>
    </r>
  </si>
  <si>
    <r>
      <rPr>
        <b/>
        <sz val="18"/>
        <color indexed="8"/>
        <rFont val="Book Antiqua"/>
        <family val="1"/>
      </rPr>
      <t xml:space="preserve">FNA : </t>
    </r>
    <r>
      <rPr>
        <b/>
        <sz val="15"/>
        <color indexed="8"/>
        <rFont val="Book Antiqua"/>
        <family val="1"/>
      </rPr>
      <t xml:space="preserve">         </t>
    </r>
    <r>
      <rPr>
        <sz val="15"/>
        <color indexed="8"/>
        <rFont val="Book Antiqua"/>
        <family val="1"/>
      </rPr>
      <t xml:space="preserve"> OAP</t>
    </r>
  </si>
  <si>
    <r>
      <rPr>
        <b/>
        <sz val="18"/>
        <color indexed="8"/>
        <rFont val="Book Antiqua"/>
        <family val="1"/>
      </rPr>
      <t xml:space="preserve">CRA :    </t>
    </r>
    <r>
      <rPr>
        <b/>
        <sz val="15"/>
        <color indexed="8"/>
        <rFont val="Book Antiqua"/>
        <family val="1"/>
      </rPr>
      <t xml:space="preserve">      </t>
    </r>
    <r>
      <rPr>
        <sz val="15"/>
        <color indexed="8"/>
        <rFont val="Book Antiqua"/>
        <family val="1"/>
      </rPr>
      <t>OAP</t>
    </r>
  </si>
  <si>
    <r>
      <rPr>
        <b/>
        <sz val="18"/>
        <color indexed="8"/>
        <rFont val="Book Antiqua"/>
        <family val="1"/>
      </rPr>
      <t>MVCT</t>
    </r>
    <r>
      <rPr>
        <sz val="18"/>
        <color indexed="8"/>
        <rFont val="Book Antiqua"/>
        <family val="1"/>
      </rPr>
      <t xml:space="preserve"> :</t>
    </r>
    <r>
      <rPr>
        <sz val="15"/>
        <color indexed="8"/>
        <rFont val="Book Antiqua"/>
        <family val="1"/>
      </rPr>
      <t xml:space="preserve">        TICs -</t>
    </r>
    <r>
      <rPr>
        <sz val="14"/>
        <color indexed="8"/>
        <rFont val="Book Antiqua"/>
        <family val="1"/>
      </rPr>
      <t>Subdirección Administrativa.</t>
    </r>
  </si>
  <si>
    <r>
      <rPr>
        <b/>
        <sz val="18"/>
        <color indexed="8"/>
        <rFont val="Book Antiqua"/>
        <family val="1"/>
      </rPr>
      <t xml:space="preserve">FNA :  </t>
    </r>
    <r>
      <rPr>
        <b/>
        <sz val="15"/>
        <color indexed="8"/>
        <rFont val="Book Antiqua"/>
        <family val="1"/>
      </rPr>
      <t xml:space="preserve"> </t>
    </r>
    <r>
      <rPr>
        <sz val="15"/>
        <color indexed="8"/>
        <rFont val="Book Antiqua"/>
        <family val="1"/>
      </rPr>
      <t>División adtiva.</t>
    </r>
  </si>
  <si>
    <r>
      <rPr>
        <b/>
        <sz val="18"/>
        <color indexed="8"/>
        <rFont val="Book Antiqua"/>
        <family val="1"/>
      </rPr>
      <t xml:space="preserve">CRA </t>
    </r>
    <r>
      <rPr>
        <b/>
        <sz val="15"/>
        <color indexed="8"/>
        <rFont val="Book Antiqua"/>
        <family val="1"/>
      </rPr>
      <t>:</t>
    </r>
    <r>
      <rPr>
        <sz val="15"/>
        <color indexed="8"/>
        <rFont val="Book Antiqua"/>
        <family val="1"/>
      </rPr>
      <t xml:space="preserve"> Subdirección Administrativa y OAP</t>
    </r>
  </si>
  <si>
    <r>
      <rPr>
        <b/>
        <sz val="18"/>
        <color indexed="8"/>
        <rFont val="Book Antiqua"/>
        <family val="1"/>
      </rPr>
      <t>MVCT</t>
    </r>
    <r>
      <rPr>
        <sz val="18"/>
        <color indexed="8"/>
        <rFont val="Book Antiqua"/>
        <family val="1"/>
      </rPr>
      <t xml:space="preserve"> :</t>
    </r>
    <r>
      <rPr>
        <sz val="15"/>
        <color indexed="8"/>
        <rFont val="Book Antiqua"/>
        <family val="1"/>
      </rPr>
      <t xml:space="preserve">  GAUA - DIVIS</t>
    </r>
  </si>
  <si>
    <r>
      <rPr>
        <b/>
        <sz val="18"/>
        <color indexed="8"/>
        <rFont val="Book Antiqua"/>
        <family val="1"/>
      </rPr>
      <t>FNA</t>
    </r>
    <r>
      <rPr>
        <sz val="18"/>
        <color indexed="8"/>
        <rFont val="Book Antiqua"/>
        <family val="1"/>
      </rPr>
      <t xml:space="preserve"> :</t>
    </r>
    <r>
      <rPr>
        <sz val="15"/>
        <color indexed="8"/>
        <rFont val="Book Antiqua"/>
        <family val="1"/>
      </rPr>
      <t xml:space="preserve">           OAP</t>
    </r>
  </si>
  <si>
    <r>
      <rPr>
        <b/>
        <sz val="18"/>
        <color indexed="8"/>
        <rFont val="Book Antiqua"/>
        <family val="1"/>
      </rPr>
      <t xml:space="preserve">CRA :  </t>
    </r>
    <r>
      <rPr>
        <b/>
        <sz val="15"/>
        <color indexed="8"/>
        <rFont val="Book Antiqua"/>
        <family val="1"/>
      </rPr>
      <t xml:space="preserve">       </t>
    </r>
    <r>
      <rPr>
        <sz val="15"/>
        <color indexed="8"/>
        <rFont val="Book Antiqua"/>
        <family val="1"/>
      </rPr>
      <t>OAP</t>
    </r>
  </si>
  <si>
    <r>
      <rPr>
        <b/>
        <sz val="18"/>
        <color indexed="8"/>
        <rFont val="Book Antiqua"/>
        <family val="1"/>
      </rPr>
      <t>MVCT</t>
    </r>
    <r>
      <rPr>
        <sz val="18"/>
        <color indexed="8"/>
        <rFont val="Book Antiqua"/>
        <family val="1"/>
      </rPr>
      <t xml:space="preserve"> :</t>
    </r>
    <r>
      <rPr>
        <sz val="15"/>
        <color indexed="8"/>
        <rFont val="Book Antiqua"/>
        <family val="1"/>
      </rPr>
      <t xml:space="preserve">       TICs y Sub. Administrativa.</t>
    </r>
  </si>
  <si>
    <r>
      <rPr>
        <b/>
        <sz val="18"/>
        <color indexed="8"/>
        <rFont val="Book Antiqua"/>
        <family val="1"/>
      </rPr>
      <t xml:space="preserve">FNA :  </t>
    </r>
    <r>
      <rPr>
        <b/>
        <sz val="15"/>
        <color indexed="8"/>
        <rFont val="Book Antiqua"/>
        <family val="1"/>
      </rPr>
      <t xml:space="preserve">  </t>
    </r>
    <r>
      <rPr>
        <sz val="15"/>
        <color indexed="8"/>
        <rFont val="Book Antiqua"/>
        <family val="1"/>
      </rPr>
      <t>División administrativa e Informatica</t>
    </r>
  </si>
  <si>
    <r>
      <rPr>
        <b/>
        <sz val="18"/>
        <color indexed="8"/>
        <rFont val="Book Antiqua"/>
        <family val="1"/>
      </rPr>
      <t xml:space="preserve">CRA:    </t>
    </r>
    <r>
      <rPr>
        <b/>
        <sz val="15"/>
        <color indexed="8"/>
        <rFont val="Book Antiqua"/>
        <family val="1"/>
      </rPr>
      <t xml:space="preserve">           </t>
    </r>
    <r>
      <rPr>
        <sz val="15"/>
        <color indexed="8"/>
        <rFont val="Book Antiqua"/>
        <family val="1"/>
      </rPr>
      <t>OAP - Subd. Administrativa.</t>
    </r>
  </si>
  <si>
    <r>
      <rPr>
        <b/>
        <sz val="18"/>
        <color indexed="8"/>
        <rFont val="Book Antiqua"/>
        <family val="1"/>
      </rPr>
      <t>MVCT</t>
    </r>
    <r>
      <rPr>
        <sz val="18"/>
        <color indexed="8"/>
        <rFont val="Book Antiqua"/>
        <family val="1"/>
      </rPr>
      <t xml:space="preserve"> : </t>
    </r>
    <r>
      <rPr>
        <sz val="15"/>
        <color indexed="8"/>
        <rFont val="Book Antiqua"/>
        <family val="1"/>
      </rPr>
      <t xml:space="preserve">        TICs y Sub. Administrativa.</t>
    </r>
  </si>
  <si>
    <r>
      <rPr>
        <b/>
        <sz val="18"/>
        <color indexed="8"/>
        <rFont val="Book Antiqua"/>
        <family val="1"/>
      </rPr>
      <t xml:space="preserve">FNA :   </t>
    </r>
    <r>
      <rPr>
        <b/>
        <sz val="15"/>
        <color indexed="8"/>
        <rFont val="Book Antiqua"/>
        <family val="1"/>
      </rPr>
      <t xml:space="preserve">    </t>
    </r>
    <r>
      <rPr>
        <sz val="15"/>
        <color indexed="8"/>
        <rFont val="Book Antiqua"/>
        <family val="1"/>
      </rPr>
      <t>Oficina de Informatica</t>
    </r>
  </si>
  <si>
    <r>
      <rPr>
        <b/>
        <sz val="18"/>
        <color indexed="8"/>
        <rFont val="Book Antiqua"/>
        <family val="1"/>
      </rPr>
      <t xml:space="preserve">CRA : </t>
    </r>
    <r>
      <rPr>
        <b/>
        <sz val="15"/>
        <color indexed="8"/>
        <rFont val="Book Antiqua"/>
        <family val="1"/>
      </rPr>
      <t xml:space="preserve">                   </t>
    </r>
    <r>
      <rPr>
        <sz val="15"/>
        <color indexed="8"/>
        <rFont val="Book Antiqua"/>
        <family val="1"/>
      </rPr>
      <t>OAP</t>
    </r>
  </si>
  <si>
    <r>
      <rPr>
        <b/>
        <sz val="18"/>
        <color indexed="8"/>
        <rFont val="Book Antiqua"/>
        <family val="1"/>
      </rPr>
      <t xml:space="preserve">MVCT : </t>
    </r>
    <r>
      <rPr>
        <b/>
        <sz val="15"/>
        <color indexed="8"/>
        <rFont val="Book Antiqua"/>
        <family val="1"/>
      </rPr>
      <t xml:space="preserve">      </t>
    </r>
    <r>
      <rPr>
        <sz val="15"/>
        <color indexed="8"/>
        <rFont val="Book Antiqua"/>
        <family val="1"/>
      </rPr>
      <t xml:space="preserve">TICs </t>
    </r>
  </si>
  <si>
    <r>
      <rPr>
        <b/>
        <sz val="18"/>
        <color indexed="8"/>
        <rFont val="Book Antiqua"/>
        <family val="1"/>
      </rPr>
      <t xml:space="preserve">FNA : </t>
    </r>
    <r>
      <rPr>
        <b/>
        <sz val="15"/>
        <color indexed="8"/>
        <rFont val="Book Antiqua"/>
        <family val="1"/>
      </rPr>
      <t xml:space="preserve">        </t>
    </r>
    <r>
      <rPr>
        <sz val="15"/>
        <color indexed="8"/>
        <rFont val="Book Antiqua"/>
        <family val="1"/>
      </rPr>
      <t>Oficina de Informatica</t>
    </r>
  </si>
  <si>
    <r>
      <rPr>
        <b/>
        <sz val="18"/>
        <color indexed="8"/>
        <rFont val="Book Antiqua"/>
        <family val="1"/>
      </rPr>
      <t xml:space="preserve">CRA:  </t>
    </r>
    <r>
      <rPr>
        <b/>
        <sz val="15"/>
        <color indexed="8"/>
        <rFont val="Book Antiqua"/>
        <family val="1"/>
      </rPr>
      <t xml:space="preserve">            </t>
    </r>
    <r>
      <rPr>
        <sz val="15"/>
        <color indexed="8"/>
        <rFont val="Book Antiqua"/>
        <family val="1"/>
      </rPr>
      <t>OAP</t>
    </r>
  </si>
  <si>
    <r>
      <rPr>
        <b/>
        <sz val="18"/>
        <color indexed="8"/>
        <rFont val="Book Antiqua"/>
        <family val="1"/>
      </rPr>
      <t>MVCT</t>
    </r>
    <r>
      <rPr>
        <sz val="18"/>
        <color indexed="8"/>
        <rFont val="Book Antiqua"/>
        <family val="1"/>
      </rPr>
      <t xml:space="preserve"> :</t>
    </r>
    <r>
      <rPr>
        <sz val="15"/>
        <color indexed="8"/>
        <rFont val="Book Antiqua"/>
        <family val="1"/>
      </rPr>
      <t xml:space="preserve">      GAUA</t>
    </r>
  </si>
  <si>
    <r>
      <rPr>
        <b/>
        <sz val="18"/>
        <color indexed="8"/>
        <rFont val="Book Antiqua"/>
        <family val="1"/>
      </rPr>
      <t>FNA :</t>
    </r>
    <r>
      <rPr>
        <b/>
        <sz val="15"/>
        <color indexed="8"/>
        <rFont val="Book Antiqua"/>
        <family val="1"/>
      </rPr>
      <t xml:space="preserve">     </t>
    </r>
    <r>
      <rPr>
        <sz val="15"/>
        <color indexed="8"/>
        <rFont val="Book Antiqua"/>
        <family val="1"/>
      </rPr>
      <t>División adtiva y Oficina  Informatica</t>
    </r>
  </si>
  <si>
    <r>
      <rPr>
        <b/>
        <sz val="18"/>
        <color indexed="8"/>
        <rFont val="Book Antiqua"/>
        <family val="1"/>
      </rPr>
      <t>CRA :</t>
    </r>
    <r>
      <rPr>
        <b/>
        <sz val="15"/>
        <color indexed="8"/>
        <rFont val="Book Antiqua"/>
        <family val="1"/>
      </rPr>
      <t xml:space="preserve">          </t>
    </r>
    <r>
      <rPr>
        <sz val="15"/>
        <color indexed="8"/>
        <rFont val="Book Antiqua"/>
        <family val="1"/>
      </rPr>
      <t xml:space="preserve"> Sub. Administrativa y OA</t>
    </r>
    <r>
      <rPr>
        <b/>
        <sz val="15"/>
        <color indexed="8"/>
        <rFont val="Book Antiqua"/>
        <family val="1"/>
      </rPr>
      <t>P</t>
    </r>
  </si>
  <si>
    <r>
      <rPr>
        <b/>
        <sz val="18"/>
        <color indexed="8"/>
        <rFont val="Book Antiqua"/>
        <family val="1"/>
      </rPr>
      <t>MVCT</t>
    </r>
    <r>
      <rPr>
        <sz val="18"/>
        <color indexed="8"/>
        <rFont val="Book Antiqua"/>
        <family val="1"/>
      </rPr>
      <t xml:space="preserve"> :</t>
    </r>
    <r>
      <rPr>
        <sz val="15"/>
        <color indexed="8"/>
        <rFont val="Book Antiqua"/>
        <family val="1"/>
      </rPr>
      <t xml:space="preserve">         OAP</t>
    </r>
  </si>
  <si>
    <r>
      <rPr>
        <b/>
        <sz val="18"/>
        <color indexed="8"/>
        <rFont val="Book Antiqua"/>
        <family val="1"/>
      </rPr>
      <t xml:space="preserve">FNA:  </t>
    </r>
    <r>
      <rPr>
        <b/>
        <sz val="15"/>
        <color indexed="8"/>
        <rFont val="Book Antiqua"/>
        <family val="1"/>
      </rPr>
      <t xml:space="preserve">               </t>
    </r>
    <r>
      <rPr>
        <sz val="15"/>
        <color indexed="8"/>
        <rFont val="Book Antiqua"/>
        <family val="1"/>
      </rPr>
      <t>Vic. Financiera y Div. Presupuesto.</t>
    </r>
  </si>
  <si>
    <r>
      <rPr>
        <b/>
        <sz val="18"/>
        <color indexed="8"/>
        <rFont val="Book Antiqua"/>
        <family val="1"/>
      </rPr>
      <t xml:space="preserve">CRA : </t>
    </r>
    <r>
      <rPr>
        <b/>
        <sz val="15"/>
        <color indexed="8"/>
        <rFont val="Book Antiqua"/>
        <family val="1"/>
      </rPr>
      <t xml:space="preserve">                     </t>
    </r>
    <r>
      <rPr>
        <sz val="15"/>
        <color indexed="8"/>
        <rFont val="Book Antiqua"/>
        <family val="1"/>
      </rPr>
      <t>Sub. Administrativa y OAP</t>
    </r>
  </si>
  <si>
    <r>
      <rPr>
        <b/>
        <sz val="18"/>
        <color indexed="8"/>
        <rFont val="Book Antiqua"/>
        <family val="1"/>
      </rPr>
      <t xml:space="preserve">MVCT:  </t>
    </r>
    <r>
      <rPr>
        <b/>
        <sz val="15"/>
        <color indexed="8"/>
        <rFont val="Book Antiqua"/>
        <family val="1"/>
      </rPr>
      <t xml:space="preserve">             </t>
    </r>
    <r>
      <rPr>
        <sz val="15"/>
        <color indexed="8"/>
        <rFont val="Book Antiqua"/>
        <family val="1"/>
      </rPr>
      <t xml:space="preserve"> OAP</t>
    </r>
  </si>
  <si>
    <r>
      <rPr>
        <b/>
        <sz val="18"/>
        <color indexed="8"/>
        <rFont val="Book Antiqua"/>
        <family val="1"/>
      </rPr>
      <t xml:space="preserve">FNA : </t>
    </r>
    <r>
      <rPr>
        <b/>
        <sz val="15"/>
        <color indexed="8"/>
        <rFont val="Book Antiqua"/>
        <family val="1"/>
      </rPr>
      <t xml:space="preserve">                       </t>
    </r>
    <r>
      <rPr>
        <sz val="15"/>
        <color indexed="8"/>
        <rFont val="Book Antiqua"/>
        <family val="1"/>
      </rPr>
      <t>Vic. Financiera y Div. Presupuesto</t>
    </r>
  </si>
  <si>
    <r>
      <rPr>
        <b/>
        <sz val="18"/>
        <color indexed="8"/>
        <rFont val="Book Antiqua"/>
        <family val="1"/>
      </rPr>
      <t>CRA :</t>
    </r>
    <r>
      <rPr>
        <b/>
        <sz val="15"/>
        <color indexed="8"/>
        <rFont val="Book Antiqua"/>
        <family val="1"/>
      </rPr>
      <t xml:space="preserve">                       </t>
    </r>
    <r>
      <rPr>
        <sz val="15"/>
        <color indexed="8"/>
        <rFont val="Book Antiqua"/>
        <family val="1"/>
      </rPr>
      <t>Sub. Administrativa y OAP</t>
    </r>
  </si>
  <si>
    <r>
      <rPr>
        <b/>
        <sz val="18"/>
        <color indexed="8"/>
        <rFont val="Book Antiqua"/>
        <family val="1"/>
      </rPr>
      <t>MVCT:</t>
    </r>
    <r>
      <rPr>
        <b/>
        <sz val="15"/>
        <color indexed="8"/>
        <rFont val="Book Antiqua"/>
        <family val="1"/>
      </rPr>
      <t xml:space="preserve"> </t>
    </r>
    <r>
      <rPr>
        <sz val="15"/>
        <color indexed="8"/>
        <rFont val="Book Antiqua"/>
        <family val="1"/>
      </rPr>
      <t xml:space="preserve"> Subdirección de  Finanzas y Ppto.</t>
    </r>
  </si>
  <si>
    <r>
      <rPr>
        <b/>
        <sz val="18"/>
        <color indexed="8"/>
        <rFont val="Book Antiqua"/>
        <family val="1"/>
      </rPr>
      <t xml:space="preserve">CRA : </t>
    </r>
    <r>
      <rPr>
        <b/>
        <sz val="15"/>
        <color indexed="8"/>
        <rFont val="Book Antiqua"/>
        <family val="1"/>
      </rPr>
      <t xml:space="preserve"> </t>
    </r>
    <r>
      <rPr>
        <sz val="15"/>
        <color indexed="8"/>
        <rFont val="Book Antiqua"/>
        <family val="1"/>
      </rPr>
      <t xml:space="preserve"> Subdirección  Adtiva.</t>
    </r>
  </si>
  <si>
    <r>
      <rPr>
        <b/>
        <sz val="18"/>
        <color indexed="8"/>
        <rFont val="Book Antiqua"/>
        <family val="1"/>
      </rPr>
      <t>MVCT :</t>
    </r>
    <r>
      <rPr>
        <b/>
        <sz val="15"/>
        <color indexed="8"/>
        <rFont val="Book Antiqua"/>
        <family val="1"/>
      </rPr>
      <t xml:space="preserve">                 </t>
    </r>
    <r>
      <rPr>
        <sz val="15"/>
        <color indexed="8"/>
        <rFont val="Book Antiqua"/>
        <family val="1"/>
      </rPr>
      <t>OAP</t>
    </r>
  </si>
  <si>
    <r>
      <rPr>
        <b/>
        <sz val="18"/>
        <color indexed="8"/>
        <rFont val="Book Antiqua"/>
        <family val="1"/>
      </rPr>
      <t xml:space="preserve">CRA : </t>
    </r>
    <r>
      <rPr>
        <b/>
        <sz val="15"/>
        <color indexed="8"/>
        <rFont val="Book Antiqua"/>
        <family val="1"/>
      </rPr>
      <t xml:space="preserve">             </t>
    </r>
    <r>
      <rPr>
        <sz val="15"/>
        <color indexed="8"/>
        <rFont val="Book Antiqua"/>
        <family val="1"/>
      </rPr>
      <t>OAP</t>
    </r>
  </si>
  <si>
    <r>
      <rPr>
        <b/>
        <sz val="18"/>
        <color indexed="8"/>
        <rFont val="Book Antiqua"/>
        <family val="1"/>
      </rPr>
      <t xml:space="preserve">MVCT </t>
    </r>
    <r>
      <rPr>
        <b/>
        <sz val="15"/>
        <color indexed="8"/>
        <rFont val="Book Antiqua"/>
        <family val="1"/>
      </rPr>
      <t xml:space="preserve">:             </t>
    </r>
    <r>
      <rPr>
        <sz val="15"/>
        <color indexed="8"/>
        <rFont val="Book Antiqua"/>
        <family val="1"/>
      </rPr>
      <t>OAP</t>
    </r>
  </si>
  <si>
    <r>
      <rPr>
        <b/>
        <sz val="18"/>
        <color indexed="8"/>
        <rFont val="Book Antiqua"/>
        <family val="1"/>
      </rPr>
      <t>CRA :</t>
    </r>
    <r>
      <rPr>
        <b/>
        <sz val="15"/>
        <color indexed="8"/>
        <rFont val="Book Antiqua"/>
        <family val="1"/>
      </rPr>
      <t xml:space="preserve">                   </t>
    </r>
    <r>
      <rPr>
        <sz val="15"/>
        <color indexed="8"/>
        <rFont val="Book Antiqua"/>
        <family val="1"/>
      </rPr>
      <t>OAP</t>
    </r>
  </si>
  <si>
    <r>
      <rPr>
        <b/>
        <sz val="18"/>
        <color indexed="8"/>
        <rFont val="Book Antiqua"/>
        <family val="1"/>
      </rPr>
      <t>MVCT</t>
    </r>
    <r>
      <rPr>
        <sz val="18"/>
        <color indexed="8"/>
        <rFont val="Book Antiqua"/>
        <family val="1"/>
      </rPr>
      <t xml:space="preserve"> :</t>
    </r>
    <r>
      <rPr>
        <sz val="15"/>
        <color indexed="8"/>
        <rFont val="Book Antiqua"/>
        <family val="1"/>
      </rPr>
      <t xml:space="preserve"> Subdirección de Servicios administrativos - OAP</t>
    </r>
  </si>
  <si>
    <r>
      <rPr>
        <b/>
        <sz val="18"/>
        <color indexed="8"/>
        <rFont val="Book Antiqua"/>
        <family val="1"/>
      </rPr>
      <t>FNA :</t>
    </r>
    <r>
      <rPr>
        <b/>
        <sz val="15"/>
        <color indexed="8"/>
        <rFont val="Book Antiqua"/>
        <family val="1"/>
      </rPr>
      <t xml:space="preserve">     </t>
    </r>
    <r>
      <rPr>
        <sz val="15"/>
        <color indexed="8"/>
        <rFont val="Book Antiqua"/>
        <family val="1"/>
      </rPr>
      <t>División Adtiva y Vic. Financiera.</t>
    </r>
  </si>
  <si>
    <r>
      <rPr>
        <b/>
        <sz val="18"/>
        <color indexed="8"/>
        <rFont val="Book Antiqua"/>
        <family val="1"/>
      </rPr>
      <t xml:space="preserve">CRA </t>
    </r>
    <r>
      <rPr>
        <b/>
        <sz val="15"/>
        <color indexed="8"/>
        <rFont val="Book Antiqua"/>
        <family val="1"/>
      </rPr>
      <t xml:space="preserve">:                   </t>
    </r>
    <r>
      <rPr>
        <sz val="15"/>
        <color indexed="8"/>
        <rFont val="Book Antiqua"/>
        <family val="1"/>
      </rPr>
      <t>Sub. Adtiva y OAP</t>
    </r>
  </si>
  <si>
    <r>
      <t xml:space="preserve">Formular e implementar una </t>
    </r>
    <r>
      <rPr>
        <b/>
        <sz val="16"/>
        <color indexed="8"/>
        <rFont val="Book Antiqua"/>
        <family val="1"/>
      </rPr>
      <t xml:space="preserve">Estrategia para disminuir el consumo de papel </t>
    </r>
    <r>
      <rPr>
        <sz val="16"/>
        <color indexed="8"/>
        <rFont val="Book Antiqua"/>
        <family val="1"/>
      </rPr>
      <t>en cada entidad del sector, incluyendo buenas prácticas                              ( Documentos electrónicos y automatización de procesos,  entre otros) tomando como año base la utilización en el 2015.</t>
    </r>
  </si>
  <si>
    <r>
      <t xml:space="preserve">El acuerdo 2040 de 2014 "Estatuto Presupuestal del FNA en el articulo 16, establece " APROBACION.   El Presidente debe presentar antes del </t>
    </r>
    <r>
      <rPr>
        <b/>
        <sz val="16"/>
        <color indexed="8"/>
        <rFont val="Book Antiqua"/>
        <family val="1"/>
      </rPr>
      <t xml:space="preserve">31 de octubre </t>
    </r>
    <r>
      <rPr>
        <sz val="16"/>
        <color indexed="8"/>
        <rFont val="Book Antiqua"/>
        <family val="1"/>
      </rPr>
      <t xml:space="preserve">el proyecto anual de presupuesto a la Junta Directiva para su aprobación. El presupuesto se aprobará antes del 31 de diciembre de cada año. </t>
    </r>
  </si>
  <si>
    <r>
      <t xml:space="preserve">La entidad tiene dispuesto la atención a la ciudadanía a través de una Sala de Chat virtual, lo cual permite comunicarse con la entidad y resolver dudas,. a través del sitio web. Este canal está disponible los días martes, de 8:00 a.m. a 10:00 a.m. 
Para la vigencia 2016 se programaron  </t>
    </r>
    <r>
      <rPr>
        <b/>
        <sz val="16"/>
        <color indexed="8"/>
        <rFont val="Book Antiqua"/>
        <family val="1"/>
      </rPr>
      <t xml:space="preserve">96 </t>
    </r>
    <r>
      <rPr>
        <sz val="16"/>
        <color indexed="8"/>
        <rFont val="Book Antiqua"/>
        <family val="1"/>
      </rPr>
      <t>horas de Chat, en el primer trimestre la CRA realizó</t>
    </r>
    <r>
      <rPr>
        <b/>
        <sz val="16"/>
        <color indexed="8"/>
        <rFont val="Book Antiqua"/>
        <family val="1"/>
      </rPr>
      <t xml:space="preserve">  24 </t>
    </r>
    <r>
      <rPr>
        <sz val="16"/>
        <color indexed="8"/>
        <rFont val="Book Antiqua"/>
        <family val="1"/>
      </rPr>
      <t xml:space="preserve"> horas de Chat.  
El nivel alcanzado por la entidad al corte del primer trimestre de 2016 es del 0,83% respecto del 3,33% de la meta porcentual sectorial definida para la CRA.</t>
    </r>
  </si>
  <si>
    <r>
      <t xml:space="preserve">Formular y presentar un </t>
    </r>
    <r>
      <rPr>
        <b/>
        <sz val="18"/>
        <color indexed="8"/>
        <rFont val="Book Antiqua"/>
        <family val="1"/>
      </rPr>
      <t>(1) Anteproyecto de Presupuesto</t>
    </r>
    <r>
      <rPr>
        <sz val="18"/>
        <color indexed="8"/>
        <rFont val="Book Antiqua"/>
        <family val="1"/>
      </rPr>
      <t>, de acuerdo a la naturaleza jurídica de cada entidad</t>
    </r>
  </si>
  <si>
    <r>
      <rPr>
        <b/>
        <sz val="18"/>
        <color indexed="8"/>
        <rFont val="Book Antiqua"/>
        <family val="1"/>
      </rPr>
      <t>1.</t>
    </r>
    <r>
      <rPr>
        <sz val="18"/>
        <color indexed="8"/>
        <rFont val="Book Antiqua"/>
        <family val="1"/>
      </rPr>
      <t xml:space="preserve"> A disposicion del consumidor financiero de manera permanente la encuesta de satisfacción.
</t>
    </r>
    <r>
      <rPr>
        <b/>
        <sz val="18"/>
        <color indexed="8"/>
        <rFont val="Book Antiqua"/>
        <family val="1"/>
      </rPr>
      <t>2.</t>
    </r>
    <r>
      <rPr>
        <sz val="18"/>
        <color indexed="8"/>
        <rFont val="Book Antiqua"/>
        <family val="1"/>
      </rPr>
      <t xml:space="preserve"> Seguimiento a los  resultados de la encuesta de medición, la cual esta automatizada.</t>
    </r>
  </si>
  <si>
    <t>Número de Municipios capacitados en la incorporación de la gestión del riesgo en la revisión de sus POT</t>
  </si>
  <si>
    <t>Número de Municipios capacitados en la elaboración del inventario de asentamientos en zonas de alto riesgo</t>
  </si>
  <si>
    <t>Número de Municipios capacitados y/o apoyados técnicamente para la revisión de los planes de ordenamiento territorial - POT</t>
  </si>
  <si>
    <r>
      <t xml:space="preserve">Formular e implementar una </t>
    </r>
    <r>
      <rPr>
        <b/>
        <sz val="18"/>
        <color indexed="8"/>
        <rFont val="Book Antiqua"/>
        <family val="1"/>
      </rPr>
      <t xml:space="preserve">Estrategia de rendición de cuentas </t>
    </r>
    <r>
      <rPr>
        <sz val="18"/>
        <color indexed="8"/>
        <rFont val="Book Antiqua"/>
        <family val="1"/>
      </rPr>
      <t>para la entidad, cumpliendo con los lineamientos metodologicos del manual único de rendición de cuentas y publicarlo en la página Web Institucional.</t>
    </r>
  </si>
  <si>
    <r>
      <rPr>
        <b/>
        <sz val="18"/>
        <color indexed="8"/>
        <rFont val="Book Antiqua"/>
        <family val="1"/>
      </rPr>
      <t>MVCT</t>
    </r>
    <r>
      <rPr>
        <sz val="18"/>
        <color indexed="8"/>
        <rFont val="Book Antiqua"/>
        <family val="1"/>
      </rPr>
      <t xml:space="preserve"> :</t>
    </r>
    <r>
      <rPr>
        <sz val="15"/>
        <color indexed="8"/>
        <rFont val="Book Antiqua"/>
        <family val="1"/>
      </rPr>
      <t xml:space="preserve"> Viceministerios de Vivienda  y Agua Potable y Saneamiento Básico - OAP</t>
    </r>
  </si>
  <si>
    <t xml:space="preserve">El FNA, cumple con la estructura planteada en la Ley 1712, Dereto 103 y Resolución 3564 de diciembre de 2015, y ha venido adelantando los ajustes de la estrategia de Gobierno en Linea, GEL.                                                                 </t>
  </si>
  <si>
    <r>
      <rPr>
        <b/>
        <sz val="18"/>
        <color indexed="8"/>
        <rFont val="Book Antiqua"/>
        <family val="1"/>
      </rPr>
      <t>MVCT</t>
    </r>
    <r>
      <rPr>
        <sz val="18"/>
        <color indexed="8"/>
        <rFont val="Book Antiqua"/>
        <family val="1"/>
      </rPr>
      <t xml:space="preserve"> :</t>
    </r>
    <r>
      <rPr>
        <sz val="15"/>
        <color indexed="8"/>
        <rFont val="Book Antiqua"/>
        <family val="1"/>
      </rPr>
      <t xml:space="preserve"> Oficina TIC</t>
    </r>
  </si>
  <si>
    <r>
      <rPr>
        <b/>
        <sz val="18"/>
        <color indexed="8"/>
        <rFont val="Book Antiqua"/>
        <family val="1"/>
      </rPr>
      <t>MVCT</t>
    </r>
    <r>
      <rPr>
        <sz val="18"/>
        <color indexed="8"/>
        <rFont val="Book Antiqua"/>
        <family val="1"/>
      </rPr>
      <t xml:space="preserve"> :</t>
    </r>
    <r>
      <rPr>
        <sz val="15"/>
        <color indexed="8"/>
        <rFont val="Book Antiqua"/>
        <family val="1"/>
      </rPr>
      <t xml:space="preserve"> Secretaría General - Grupo Soporte Técnico  -  Grupo de Atención al Usuario y Archivo</t>
    </r>
  </si>
  <si>
    <r>
      <t>Revisión, actualización e implementación  del</t>
    </r>
    <r>
      <rPr>
        <b/>
        <sz val="18"/>
        <rFont val="Book Antiqua"/>
        <family val="1"/>
      </rPr>
      <t xml:space="preserve"> Plan estratégico de tecnología y sistemas de información </t>
    </r>
    <r>
      <rPr>
        <sz val="18"/>
        <rFont val="Book Antiqua"/>
        <family val="1"/>
      </rPr>
      <t>(PETIC) de acuerdo a lo exigido por GEL  (Decreto 2573 de 2.014) para la vigencia.</t>
    </r>
  </si>
  <si>
    <t>Revisión, actualización e implementación  del Plan estratégico de tecnología y sistemas de información (PETIC) de acuerdo a lo exigido por GEL  (Decreto 2573 de 2.014).</t>
  </si>
  <si>
    <t>Porcentaje de avance del Plan estratégico de tecnología y sistemas de información.</t>
  </si>
  <si>
    <r>
      <t xml:space="preserve">Se realizaron ajustes al Plan Anticorrupción y Atención al Ciudadano de acuerdo al seguimiento realizado al mismo, especificamente a la matriz de riesgos. 
Se realizó la respectiva actualización en la página web de la entidad.
</t>
    </r>
    <r>
      <rPr>
        <b/>
        <sz val="18"/>
        <color indexed="8"/>
        <rFont val="Book Antiqua"/>
        <family val="1"/>
      </rPr>
      <t>El porcentaje de cumplimiento del Segundo Trimestre del año 2016 es de 3,75% frente a la participación del Sector.</t>
    </r>
  </si>
  <si>
    <t>El avance para el segundo trimestre de 2016 se mantiene en 4% toda vez que la entidad se encuentra en cambio de diseño  y estructura de la Pagina WEB, la cual busca generar mayor interacción  y cercanía con el consumidor financiero y público en general y mejorar en aspectos de accesibilidad y usabilidad requeridos</t>
  </si>
  <si>
    <r>
      <t xml:space="preserve">Durante el segundo trimestre de 2016, la entidad publicó cinco (5) proyectos normativos Resoluciones CRA 755, 756, 759, 760 y 761,  con oportunidad para consulta y participación de grupos de interés y ciudadanía en general.
</t>
    </r>
    <r>
      <rPr>
        <b/>
        <sz val="18"/>
        <color indexed="8"/>
        <rFont val="Book Antiqua"/>
        <family val="1"/>
      </rPr>
      <t xml:space="preserve">Con corte a 30 de junio de 2016 el avance es de 1,7% de la participación porcentual en la política. </t>
    </r>
  </si>
  <si>
    <t xml:space="preserve">La entidades del Sector definieron realizar el Foro Virtual en el mes de Octubre y el tema propuesta es el Posconflicto.
Con corte a 30 de junio de 2016 el avance es de 0,17% de la participación porcentual en la política. </t>
  </si>
  <si>
    <t>% Avance Consolidado</t>
  </si>
  <si>
    <t xml:space="preserve">Indicador cumplido con corte a 31 de marzo de 2016 </t>
  </si>
  <si>
    <t>Se acordó que las entidades del Sector participarán conjuntamente en las siguientes Ferias:
- Villa del Rosario(Nte. de Santander)Junio 11, la cual fue reprogramada por DNP para 09 de Julio.
- Florencia (Caquetá) Julio 30
- Sincé (Sucre) Noviembre 26 
Lo anterior de acuerdo con el cronograma definido por el DNP.
Con corte a 31 de marzo de 2016 el avance de la entidad es del 0%, no obstante se encuentra dentro del cumplimiento del cronograma sectorial acordado.</t>
  </si>
  <si>
    <t>A 30 de junio del año 2016 el FNA publicó 2 Acuerdos y 1 Resolución Institucional. 
Adicional se publicó Plan de Capacitación, Plan de Bienestar, Modificaciones al Plan Anticorrupción y Plan Sectorial del trimestre (PEIPGS)
El porcentaje de cumplimiento del Segundo Trimestre del año 2016 es de 1,7% frente a la participación del Sector.</t>
  </si>
  <si>
    <t xml:space="preserve">Se realizó la elaboración, aprobación y publicación  del Plan Estratégico de Talento Humano del FNA vigencia 2015-2019.
La implementación se esta realizando por medio de los planes de acción de cada una de las áreas.
El porcentaje de cumplimiento del Segundo Trimestre del año 2016 es de 4% frente a la participación del Sector. </t>
  </si>
  <si>
    <r>
      <t xml:space="preserve">El nivel de cumplimiento con corte a 30 de junio de 2016 es del 99%, correspondiente a la respuestas dadas a las solicitudes sobre consultas de gestión regulatoria formuladas.                                                                                                                      </t>
    </r>
    <r>
      <rPr>
        <b/>
        <sz val="18"/>
        <rFont val="Book Antiqua"/>
        <family val="1"/>
      </rPr>
      <t>(1445 Solicitudes atendidas sobre 1458 solicitudes recibidas)</t>
    </r>
  </si>
  <si>
    <t xml:space="preserve">% Avance </t>
  </si>
  <si>
    <r>
      <t xml:space="preserve">Al ser parte integral del Plan Estrategico del GTH este se encuentra publicado en el siguiente link:
 http://portal.minvivienda.local/sobre-el-ministerio/talento-humano
</t>
    </r>
    <r>
      <rPr>
        <b/>
        <sz val="20"/>
        <color indexed="8"/>
        <rFont val="Book Antiqua"/>
        <family val="1"/>
      </rPr>
      <t>Con corte al 30 de Septiembre de 2016 el avance es de el 5% de la participación porcentual en la política</t>
    </r>
    <r>
      <rPr>
        <sz val="18"/>
        <color indexed="8"/>
        <rFont val="Book Antiqua"/>
        <family val="1"/>
      </rPr>
      <t xml:space="preserve">
</t>
    </r>
  </si>
  <si>
    <r>
      <t xml:space="preserve">Elaboración e implementación del </t>
    </r>
    <r>
      <rPr>
        <b/>
        <sz val="18"/>
        <color indexed="8"/>
        <rFont val="Book Antiqua"/>
        <family val="1"/>
      </rPr>
      <t>Programa de Gestión Documental</t>
    </r>
    <r>
      <rPr>
        <sz val="18"/>
        <color indexed="8"/>
        <rFont val="Book Antiqua"/>
        <family val="1"/>
      </rPr>
      <t xml:space="preserve"> en cada una las entidades del sector, atendiendo las directrices del archivo general de la Nación.</t>
    </r>
  </si>
  <si>
    <r>
      <t xml:space="preserve">Se han realizado Nueve (9) Informes de Ejecución presupuestal del ministerio y del sector, que pertenecen a los meses de Enero, Febrero, Marzo, Abril, Mayo, Junio, Julio Agosto y Septiembre.   
</t>
    </r>
    <r>
      <rPr>
        <b/>
        <sz val="20"/>
        <color indexed="8"/>
        <rFont val="Book Antiqua"/>
        <family val="1"/>
      </rPr>
      <t>Con corte a Septiembre 30 de 2016 el avance es de 6,25% de la  participación porcentual en la politica.</t>
    </r>
    <r>
      <rPr>
        <sz val="16"/>
        <color indexed="8"/>
        <rFont val="Book Antiqua"/>
        <family val="1"/>
      </rPr>
      <t xml:space="preserve">
</t>
    </r>
  </si>
  <si>
    <t>Actividad Cumplida en el segundo trimestre de 2016</t>
  </si>
  <si>
    <r>
      <t xml:space="preserve"> La entidad publicó dos (2) proyectos normativos Resoluciones CRA 764 y 765,  con oportunidad para consulta y participación de grupos de interés y ciudadanía en general. Adicionalmente se publicaron en la página web de la entidad los siguientes informes: 1.-) Informe de Seguimiento al Plan Anticorrupción y de Atención al Ciudadano y al mapa de riesgos de corrupción.  correspondiente el 2° cuatrimestre del año 2016 el día 14 de septiembre de 2016. 2.-) Informe Definitivo de Auditoría a PQRSD primer semestre de la vigencia  2016 el día 30 de agosto de 2016. 3.-) Informe de Austeridad y Eficiencia en el Gasto Público Segundo Trimestre de 2016 el día 09 de agosto de 2016. 4.-) Informe de Seguimiento al Plan de Acción primer semestre de 2016 el día 26 de julio de 2016. 5.-) Informe de Seguimiento al Plan de Mejoramiento CGR a 30 de junio de 2016 el día 26 de julio de 2016. 6.-) Informe de Seguimiento Ley de Transparencia 1712 de 2014 el día 15 de julio de 2016. 7.-) Informe de seguimiento a la ejecución presupuestal al 31 de julio de 2016 el día 09 de septiembre de 2016. 8.-) Informe de Seguimiento a la Agenda Regulatoria indicativa  primer semestre de 2016 el día 01 de septiembre de 2016. 9.-) Informe Ejecutivo Anual de Control Interno. 10).- Informe de auditoría al procedimiento de contribuciones 2016.
</t>
    </r>
    <r>
      <rPr>
        <b/>
        <sz val="20"/>
        <color indexed="8"/>
        <rFont val="Book Antiqua"/>
        <family val="1"/>
      </rPr>
      <t xml:space="preserve">Con corte a 30 de septiembre de 2016 el avance es de 2,5% de la participación porcentual en la política. </t>
    </r>
  </si>
  <si>
    <r>
      <rPr>
        <b/>
        <sz val="11"/>
        <color indexed="8"/>
        <rFont val="Book Antiqua"/>
        <family val="1"/>
      </rPr>
      <t xml:space="preserve">* El  VAPSB :   </t>
    </r>
    <r>
      <rPr>
        <sz val="11"/>
        <color indexed="8"/>
        <rFont val="Book Antiqua"/>
        <family val="1"/>
      </rPr>
      <t xml:space="preserve">                                                                                                                                         
</t>
    </r>
    <r>
      <rPr>
        <b/>
        <sz val="11"/>
        <color indexed="8"/>
        <rFont val="Book Antiqua"/>
        <family val="1"/>
      </rPr>
      <t>1.</t>
    </r>
    <r>
      <rPr>
        <sz val="11"/>
        <color indexed="8"/>
        <rFont val="Book Antiqua"/>
        <family val="1"/>
      </rPr>
      <t xml:space="preserve">  Instrumento Normativo A cargo del GPS . Maria E. Cruz Publicado para comentarios en página web del 29 de agosto al 27 de septiembre “Por la cual se adopta el Reglamento Técnico para el Sector de Agua Potable y Saneamiento Básico – RAS y se derogan las resoluciones 1096 de 2000, 0424 de 2001, 0668 de 2003, 1459 de 2005, 1447 de 2005 y 2320 de 2009”.                                                                                                                                                                             
</t>
    </r>
    <r>
      <rPr>
        <b/>
        <sz val="11"/>
        <color indexed="8"/>
        <rFont val="Book Antiqua"/>
        <family val="1"/>
      </rPr>
      <t>2.</t>
    </r>
    <r>
      <rPr>
        <sz val="11"/>
        <color indexed="8"/>
        <rFont val="Book Antiqua"/>
        <family val="1"/>
      </rPr>
      <t xml:space="preserve">  Instrumento Normativo A cargo del GPS . Maria E. Cruz Publicado para comentarios en página web del 31 de agosto al 30 de septiembre “Por la cual se expiden los requisitos técnicos que deben cumplir los tubos, ductos y accesorios de acueducto y alcantarillado, los de uso sanitario y los de aguas lluvias, que adquieran las personas prestadoras de los servicios de acueducto y alcantarillado, así como las instalaciones hidrosanitarias al interior de las viviendas y se derogan las resoluciones 1166 de 2006 y 1127 de 2007”.
</t>
    </r>
    <r>
      <rPr>
        <b/>
        <sz val="11"/>
        <color indexed="8"/>
        <rFont val="Book Antiqua"/>
        <family val="1"/>
      </rPr>
      <t>3.</t>
    </r>
    <r>
      <rPr>
        <sz val="11"/>
        <color indexed="8"/>
        <rFont val="Book Antiqua"/>
        <family val="1"/>
      </rPr>
      <t xml:space="preserve"> Instrumento Normativo de firma conjunta con MADS y MVCT (A cargo del GDS ) Publicado para comentarios en página web del 28 julio al 02 de agosto
"Por medio del cual se reglamenta el artículo 228 de la Ley 1753 de 2015 y se adiciona una sección del Decreto 1076 de 2015, Decreto Único Reglamentario del Sector Ambiente y Desarrollo Sostenible.  Instrumento Normativo de firma conjunta con MADS"
</t>
    </r>
    <r>
      <rPr>
        <b/>
        <sz val="11"/>
        <color indexed="8"/>
        <rFont val="Book Antiqua"/>
        <family val="1"/>
      </rPr>
      <t>4.</t>
    </r>
    <r>
      <rPr>
        <sz val="11"/>
        <color indexed="8"/>
        <rFont val="Book Antiqua"/>
        <family val="1"/>
      </rPr>
      <t xml:space="preserve"> Instrumento Normativo de firma conjunta con Ministerio de Salud  (A cargo del GDS)  Publicado para comentarios en página web del 16 al 20 de septiembre "Por la cual se adopta la Guía que incorpora los criterios y actividades mínimas de los estudios de riesgo, programas de reducción de riesgo y planes de contingencia de los sistemas de suministro de agua para consumo humano" 
</t>
    </r>
    <r>
      <rPr>
        <b/>
        <sz val="11"/>
        <color indexed="8"/>
        <rFont val="Book Antiqua"/>
        <family val="1"/>
      </rPr>
      <t>5.</t>
    </r>
    <r>
      <rPr>
        <sz val="11"/>
        <color indexed="8"/>
        <rFont val="Book Antiqua"/>
        <family val="1"/>
      </rPr>
      <t xml:space="preserve"> Instrumento Normativo (A cargo del GSGP)  Publicado para comentarios en página web del 29 de julio al 03 de agosto,  "Por medio de la cual se definen los indicadores, variables y ponderadores para la determinación del criterio de eficiencia fiscal y administrativa en la gestión sectorial de agua potable y saneamiento básico en las vigencias 2017, 2018, 2019 y 2020"
</t>
    </r>
    <r>
      <rPr>
        <b/>
        <sz val="11"/>
        <color indexed="8"/>
        <rFont val="Book Antiqua"/>
        <family val="1"/>
      </rPr>
      <t xml:space="preserve">6. </t>
    </r>
    <r>
      <rPr>
        <sz val="11"/>
        <color indexed="8"/>
        <rFont val="Book Antiqua"/>
        <family val="1"/>
      </rPr>
      <t xml:space="preserve"> Instrumento Normativo (A cargo del GSGP)  Publicado para comentarios en página web del 01 al 16 de septiembre, " Por medio de la cual se reglamentan las Cuentas Maestras de las entidades territoriales para la administración de los recursos del Sistema General de Participaciones de Agua Potable y Saneamiento Básico" </t>
    </r>
    <r>
      <rPr>
        <b/>
        <sz val="11"/>
        <color indexed="8"/>
        <rFont val="Book Antiqua"/>
        <family val="1"/>
      </rPr>
      <t xml:space="preserve">
* En VV : la DSH </t>
    </r>
    <r>
      <rPr>
        <sz val="11"/>
        <color indexed="8"/>
        <rFont val="Book Antiqua"/>
        <family val="1"/>
      </rPr>
      <t xml:space="preserve"> 
</t>
    </r>
    <r>
      <rPr>
        <b/>
        <sz val="11"/>
        <color indexed="8"/>
        <rFont val="Book Antiqua"/>
        <family val="1"/>
      </rPr>
      <t xml:space="preserve">1. </t>
    </r>
    <r>
      <rPr>
        <sz val="11"/>
        <color indexed="8"/>
        <rFont val="Book Antiqua"/>
        <family val="1"/>
      </rPr>
      <t xml:space="preserve">Proyecto de Resolución: Por la cual se establecen criterios para realizar redistribución de cupos de recursos en el marco de la Segunda Etapa del Programa de Vivienda Gratuita. Fecha de publicación: 25 de julio de 2016.
</t>
    </r>
    <r>
      <rPr>
        <b/>
        <sz val="11"/>
        <color indexed="8"/>
        <rFont val="Book Antiqua"/>
        <family val="1"/>
      </rPr>
      <t xml:space="preserve">2. </t>
    </r>
    <r>
      <rPr>
        <sz val="11"/>
        <color indexed="8"/>
        <rFont val="Book Antiqua"/>
        <family val="1"/>
      </rPr>
      <t xml:space="preserve"> Proyecto de Resolución: Por la cual se establecen criterios para realizar redistribución de cupos de recursos en el marco de la Segunda Etapa del Programa de Vivienda Gratuita. Fecha de publicación: 23 de septiembre de 2016.</t>
    </r>
  </si>
  <si>
    <r>
      <t>Revisar</t>
    </r>
    <r>
      <rPr>
        <b/>
        <sz val="18"/>
        <color indexed="8"/>
        <rFont val="Book Antiqua"/>
        <family val="1"/>
      </rPr>
      <t xml:space="preserve"> 1000 </t>
    </r>
    <r>
      <rPr>
        <sz val="18"/>
        <color indexed="8"/>
        <rFont val="Book Antiqua"/>
        <family val="1"/>
      </rPr>
      <t xml:space="preserve">proyectos en materia de Acueducto, Alcantarillado y Aseo, durante la vigencia.
</t>
    </r>
    <r>
      <rPr>
        <sz val="11"/>
        <color indexed="8"/>
        <rFont val="Book Antiqua"/>
        <family val="1"/>
      </rPr>
      <t xml:space="preserve">(Por solicitudes de la Dirección de Programas realizadas en Junio 15 y Octubre 19 de 2016, se ajusta la  meta a 1000 proyectos). </t>
    </r>
  </si>
  <si>
    <r>
      <t>Realizar</t>
    </r>
    <r>
      <rPr>
        <b/>
        <sz val="18"/>
        <color indexed="8"/>
        <rFont val="Book Antiqua"/>
        <family val="1"/>
      </rPr>
      <t xml:space="preserve"> 450 </t>
    </r>
    <r>
      <rPr>
        <sz val="18"/>
        <color indexed="8"/>
        <rFont val="Book Antiqua"/>
        <family val="1"/>
      </rPr>
      <t xml:space="preserve">asistencias técnicas de Transferencia de conocimiento, desarrollo de habilidades en procesos administrativos y técnicos. 
</t>
    </r>
    <r>
      <rPr>
        <sz val="12"/>
        <color indexed="8"/>
        <rFont val="Book Antiqua"/>
        <family val="1"/>
      </rPr>
      <t xml:space="preserve">(Por solicitudes de la Dirección de Programas realizada en Junio 15 y Octubre 19 de 2016, se ajusta la  meta a 450 asistencias técnicas). </t>
    </r>
  </si>
  <si>
    <r>
      <t xml:space="preserve">En el primer trimestre del año 2016 se han iniciado  </t>
    </r>
    <r>
      <rPr>
        <b/>
        <sz val="18"/>
        <rFont val="Book Antiqua"/>
        <family val="1"/>
      </rPr>
      <t xml:space="preserve">307 </t>
    </r>
    <r>
      <rPr>
        <sz val="18"/>
        <rFont val="Book Antiqua"/>
        <family val="1"/>
      </rPr>
      <t xml:space="preserve">soluciones de vivienda de interés prioritario en el marco del Programa VIPA en los departamentos de Caldas, César, Nariño , Norte de Santande, Quindío, Santander, Sure, Tolima, Valle del Cauca.                                                                                </t>
    </r>
  </si>
  <si>
    <r>
      <t xml:space="preserve">Con corte al segundo trimestre del año 2016 se han iniciado  </t>
    </r>
    <r>
      <rPr>
        <b/>
        <sz val="18"/>
        <rFont val="Book Antiqua"/>
        <family val="1"/>
      </rPr>
      <t xml:space="preserve">1.338 </t>
    </r>
    <r>
      <rPr>
        <sz val="18"/>
        <rFont val="Book Antiqua"/>
        <family val="1"/>
      </rPr>
      <t xml:space="preserve">soluciones de vivienda de interés prioritario en el marco del Programa VIPA en los departamentos de Caldas y César.
</t>
    </r>
    <r>
      <rPr>
        <sz val="18"/>
        <rFont val="Book Antiqua"/>
        <family val="1"/>
      </rPr>
      <t xml:space="preserve">                                     </t>
    </r>
  </si>
  <si>
    <r>
      <t xml:space="preserve">En el tercer trimestre del año 2016 se iniciaron 1.061 soluciones de vivienda de interés prioritario en el marco del Programa VIPA en los departamentos de Caldas, César, Quindío, y Risaralda, en lo que va corrido de la vigencia se tiene un total acumulado de </t>
    </r>
    <r>
      <rPr>
        <b/>
        <sz val="18"/>
        <rFont val="Book Antiqua"/>
        <family val="1"/>
      </rPr>
      <t xml:space="preserve">2.399 </t>
    </r>
    <r>
      <rPr>
        <sz val="18"/>
        <rFont val="Book Antiqua"/>
        <family val="1"/>
      </rPr>
      <t xml:space="preserve">Soluciones de Vivienda Iniciadas .
</t>
    </r>
    <r>
      <rPr>
        <sz val="18"/>
        <rFont val="Book Antiqua"/>
        <family val="1"/>
      </rPr>
      <t xml:space="preserve">
</t>
    </r>
  </si>
  <si>
    <r>
      <t xml:space="preserve">El total de créditos con cobertura otrogados en el Programa de cobertura condicionada de créditos de vivienda segunda generación en el primer trimestre del 2016 fue  </t>
    </r>
    <r>
      <rPr>
        <b/>
        <sz val="18"/>
        <rFont val="Book Antiqua"/>
        <family val="1"/>
      </rPr>
      <t xml:space="preserve">777  </t>
    </r>
    <r>
      <rPr>
        <sz val="18"/>
        <rFont val="Book Antiqua"/>
        <family val="1"/>
      </rPr>
      <t xml:space="preserve">coberturas otorgadas.                                                     </t>
    </r>
  </si>
  <si>
    <r>
      <t xml:space="preserve">El total de créditos con cobertura otorgados en el Programa de cobertura condicionada de créditos de vivienda segunda generación con corte al segundo trimestre del 2016 fue  </t>
    </r>
    <r>
      <rPr>
        <b/>
        <sz val="18"/>
        <rFont val="Book Antiqua"/>
        <family val="1"/>
      </rPr>
      <t xml:space="preserve">17.922  </t>
    </r>
    <r>
      <rPr>
        <sz val="18"/>
        <rFont val="Book Antiqua"/>
        <family val="1"/>
      </rPr>
      <t xml:space="preserve">coberturas otorgadas.
</t>
    </r>
    <r>
      <rPr>
        <sz val="20"/>
        <rFont val="Book Antiqua"/>
        <family val="1"/>
      </rPr>
      <t xml:space="preserve">    </t>
    </r>
    <r>
      <rPr>
        <sz val="18"/>
        <rFont val="Book Antiqua"/>
        <family val="1"/>
      </rPr>
      <t xml:space="preserve">                 </t>
    </r>
  </si>
  <si>
    <r>
      <t xml:space="preserve">El total de créditos con cobertura otorgados en el Programa de cobertura condicionada de créditos de vivienda segunda generación en el tercer trimestre del 2016 fue  7.070  coberturas otorgadas, en lo que va corrido de la vigencia se tiene un total acumulado de </t>
    </r>
    <r>
      <rPr>
        <b/>
        <sz val="18"/>
        <rFont val="Book Antiqua"/>
        <family val="1"/>
      </rPr>
      <t xml:space="preserve">24.992  </t>
    </r>
    <r>
      <rPr>
        <sz val="18"/>
        <rFont val="Book Antiqua"/>
        <family val="1"/>
      </rPr>
      <t xml:space="preserve">coberturas otorgadas.   
</t>
    </r>
    <r>
      <rPr>
        <b/>
        <sz val="20"/>
        <rFont val="Book Antiqua"/>
        <family val="1"/>
      </rPr>
      <t xml:space="preserve">    </t>
    </r>
    <r>
      <rPr>
        <sz val="18"/>
        <rFont val="Book Antiqua"/>
        <family val="1"/>
      </rPr>
      <t xml:space="preserve">                                                      </t>
    </r>
    <r>
      <rPr>
        <b/>
        <sz val="18"/>
        <rFont val="Book Antiqua"/>
        <family val="1"/>
      </rPr>
      <t xml:space="preserve"> </t>
    </r>
  </si>
  <si>
    <r>
      <t xml:space="preserve">En el Programa de Promoción y acceso a la viveinda de interés social "Mi Casa Ya" se han habilitado  </t>
    </r>
    <r>
      <rPr>
        <b/>
        <sz val="18"/>
        <rFont val="Book Antiqua"/>
        <family val="1"/>
      </rPr>
      <t xml:space="preserve">4016 </t>
    </r>
    <r>
      <rPr>
        <sz val="18"/>
        <rFont val="Book Antiqua"/>
        <family val="1"/>
      </rPr>
      <t xml:space="preserve">hogares.                                                                                                       </t>
    </r>
  </si>
  <si>
    <r>
      <t xml:space="preserve">Con corte al segundo trimestre del año 2016, en el Programa de Promoción y acceso a la vivienda de interés social "Mi Casa Ya" se han habilitado </t>
    </r>
    <r>
      <rPr>
        <b/>
        <sz val="18"/>
        <rFont val="Book Antiqua"/>
        <family val="1"/>
      </rPr>
      <t xml:space="preserve">16.765 </t>
    </r>
    <r>
      <rPr>
        <sz val="18"/>
        <rFont val="Book Antiqua"/>
        <family val="1"/>
      </rPr>
      <t xml:space="preserve">hogares. 
                                                                                                              </t>
    </r>
  </si>
  <si>
    <r>
      <t xml:space="preserve">Durante el primer trimestre no se ha iniciado la construcción de vivienda de interés prioritario en el Programa de vivienda gratis segunda fase.                                                       </t>
    </r>
    <r>
      <rPr>
        <b/>
        <sz val="18"/>
        <rFont val="Book Antiqua"/>
        <family val="1"/>
      </rPr>
      <t xml:space="preserve"> </t>
    </r>
    <r>
      <rPr>
        <sz val="18"/>
        <rFont val="Book Antiqua"/>
        <family val="1"/>
      </rPr>
      <t xml:space="preserve">                                  </t>
    </r>
  </si>
  <si>
    <r>
      <t xml:space="preserve">.                                                       
</t>
    </r>
    <r>
      <rPr>
        <sz val="18"/>
        <rFont val="Book Antiqua"/>
        <family val="1"/>
      </rPr>
      <t xml:space="preserve">Durante el año 2016, no se ha iniciado la construcción de la soluciones de vivienda en el Programa de Vivienda Gratuita Segunda Fase, debido a que el Programa se encuentra en la etapa de convocatorias para selección de constructores. </t>
    </r>
  </si>
  <si>
    <r>
      <t xml:space="preserve">Durante el año 2016, no se ha iniciado la construcción de la soluciones de vivienda en el Programa de Vivienda Gratuita Segunda Fase, debido a que el Programa se encuentra en la etapa de convocatorias para selección de constructores y en la segunda convocatoria de selección de lotes públicos:
</t>
    </r>
    <r>
      <rPr>
        <b/>
        <sz val="18"/>
        <rFont val="Book Antiqua"/>
        <family val="1"/>
      </rPr>
      <t xml:space="preserve">
</t>
    </r>
    <r>
      <rPr>
        <b/>
        <sz val="20"/>
        <rFont val="Book Antiqua"/>
        <family val="1"/>
      </rPr>
      <t xml:space="preserve"> </t>
    </r>
  </si>
  <si>
    <r>
      <rPr>
        <sz val="16"/>
        <rFont val="Book Antiqua"/>
        <family val="1"/>
      </rPr>
      <t>Con corte a 30 de Junio 2016 se han capacitado</t>
    </r>
    <r>
      <rPr>
        <b/>
        <sz val="16"/>
        <rFont val="Book Antiqua"/>
        <family val="1"/>
      </rPr>
      <t xml:space="preserve"> 37</t>
    </r>
    <r>
      <rPr>
        <sz val="16"/>
        <rFont val="Book Antiqua"/>
        <family val="1"/>
      </rPr>
      <t xml:space="preserve"> Municipios</t>
    </r>
    <r>
      <rPr>
        <b/>
        <sz val="16"/>
        <rFont val="Book Antiqua"/>
        <family val="1"/>
      </rPr>
      <t xml:space="preserve">:
</t>
    </r>
    <r>
      <rPr>
        <sz val="16"/>
        <rFont val="Book Antiqua"/>
        <family val="1"/>
      </rPr>
      <t xml:space="preserve">Vichada (1): Cumaribo
Meta (1): Mapiripán  
Antioquia (12):  Amaga, Anorí, Anza, Don Matías, Ebejico, Fredonia, Giraldo, Mutata, Salgar, Sopetran, Támesis, Yolombó.
Caldas (16): Aguadas, Chinchina, Manizales, Marmato, Marquetalia, Neira, Norcasia, Pacora, Palestina, Riosucio, Salamina, San José, Supia, Victoria, Villamaría, Viterbo. 
Putumayo (7): Mocoa, Orito, Puerto Leguizamo, San Francisco, Santiago, Sibundoy, Puerto Asís.                                                                                                            </t>
    </r>
  </si>
  <si>
    <t xml:space="preserve">Con corte a 31 de Marzo 2016 se han capacitado 2 Municipios:Vichada (1): Cumaribo
Meta (1): Mapiripán                                                                                              </t>
  </si>
  <si>
    <t xml:space="preserve">Con corte a 31 de Marzo de 2016 se ha capacitado 1 Municipios:Antioquia (1): Medellín                                                                                                       </t>
  </si>
  <si>
    <r>
      <rPr>
        <sz val="16"/>
        <rFont val="Book Antiqua"/>
        <family val="1"/>
      </rPr>
      <t xml:space="preserve">Con corte a 30 de Junio de 2016 se han capacitado </t>
    </r>
    <r>
      <rPr>
        <b/>
        <sz val="16"/>
        <rFont val="Book Antiqua"/>
        <family val="1"/>
      </rPr>
      <t>14</t>
    </r>
    <r>
      <rPr>
        <sz val="16"/>
        <rFont val="Book Antiqua"/>
        <family val="1"/>
      </rPr>
      <t xml:space="preserve"> Municipios</t>
    </r>
    <r>
      <rPr>
        <b/>
        <sz val="16"/>
        <rFont val="Book Antiqua"/>
        <family val="1"/>
      </rPr>
      <t xml:space="preserve">:
</t>
    </r>
    <r>
      <rPr>
        <sz val="16"/>
        <rFont val="Book Antiqua"/>
        <family val="1"/>
      </rPr>
      <t xml:space="preserve">Antioquia (1): Medellín 
Bolívar (1):Cartagena 
Antioquia (12):  Amaga, Anorí, Anza, Don Matías, Ebejico, Fredonia, Giraldo, Mutata, Salgar, Sopetran, Támesis, Yolombó.
</t>
    </r>
  </si>
  <si>
    <r>
      <t xml:space="preserve">Con corte a 30 de septiembre de 2016, se han capacitado  76  Municipios del país:
</t>
    </r>
    <r>
      <rPr>
        <sz val="16"/>
        <rFont val="Book Antiqua"/>
        <family val="1"/>
      </rPr>
      <t>Antioquia (1): Medellín 
Bolívar (1):Cartagena 
Antioquia (12):  Amaga, Anorí, Anza, Don Matías, Ebejico, Fredonia, Giraldo, Mutata, Salgar, Sopetran, Támesis, Yolombó.
Santander (57): Aguada, Albania, Aratoca, Barrancabermeja, Betulia, Bolívar, Bucaramanga, Cabrera, California, Capitanejo, Carcasí, Cerrito, Charalá, Charta, Chipatá, Concepción, Confines, Coromoro, Curití, El Peñón, Encino, Floridablanca, Gámbita, Girón, Guaca, Guadalupe, Güepsa, Hato, Lebrija, Los Santos, Málaga, Matanza, Mogotes, Ocamonte, Palmar, Pinchote, Rionegro, Sabana de Torres, San Andrés, San Benito, San Gil, San José de Miranda, San Miguel, San Vicente, Santa Bárbara, Santa Helena del Opón, Simacota, Socorro, Suaita, Sucre, Suratá, Tona, Valle de San José, Vélez, Vetas, Villanueva, Zapatoca.
Antioquia (5): Envigado, Barbosa, Bello, Sabaneta y La Estrella.</t>
    </r>
  </si>
  <si>
    <t xml:space="preserve">Con corte a 31 de Marzo de 2016  se han capacitado 17 municipios:   San Andrés de Sotavento, Chinú, Lorica, Montelibano, Cerete, Montería, Ayapel, Moñitos, Canalete, Planeta Rica, Pueblo Nuevo, San Pelayo, San Antero, Tuchin, Chima, Los Córdobas, Puerto Escondido.                                                </t>
  </si>
  <si>
    <r>
      <rPr>
        <sz val="16"/>
        <rFont val="Book Antiqua"/>
        <family val="1"/>
      </rPr>
      <t xml:space="preserve">Con corte a 30 de junio de 2016  se han capacitado </t>
    </r>
    <r>
      <rPr>
        <b/>
        <sz val="16"/>
        <rFont val="Book Antiqua"/>
        <family val="1"/>
      </rPr>
      <t>36</t>
    </r>
    <r>
      <rPr>
        <sz val="16"/>
        <rFont val="Book Antiqua"/>
        <family val="1"/>
      </rPr>
      <t xml:space="preserve"> municipios:</t>
    </r>
    <r>
      <rPr>
        <b/>
        <sz val="16"/>
        <rFont val="Book Antiqua"/>
        <family val="1"/>
      </rPr>
      <t xml:space="preserve">
</t>
    </r>
    <r>
      <rPr>
        <sz val="16"/>
        <rFont val="Book Antiqua"/>
        <family val="1"/>
      </rPr>
      <t xml:space="preserve">Córdoba (17):  San Andrés de Sotavento, Chinú, Lorica, Montelibano, Cerete, Montería, Ayapel, Moñitos, Canalete, Planeta Rica, Pueblo Nuevo, San Pelayo, San Antero, Tuchin, Chima, Los Córdobas, Puerto Escondido.
Antioquia (12):  Amaga, Anorí, Anza, Don Matías, Ebejico, Fredonia, Giraldo, Mutata, Salgar, Sopetran, Támesis, Yolombó.
Putumayo (7): Mocoa, Orito, Puerto Leguizamo, San Francisco, Santiago, Sibundoy, Puerto Asís.
</t>
    </r>
  </si>
  <si>
    <r>
      <t xml:space="preserve">En el periodo comprendido entre Enero – Marzo (2016), la Subdirección de Proyectos de la Dirección de Programas ha  realizado  </t>
    </r>
    <r>
      <rPr>
        <b/>
        <sz val="18"/>
        <rFont val="Book Antiqua"/>
        <family val="1"/>
      </rPr>
      <t xml:space="preserve">226 </t>
    </r>
    <r>
      <rPr>
        <sz val="18"/>
        <rFont val="Book Antiqua"/>
        <family val="1"/>
      </rPr>
      <t xml:space="preserve"> acompañamientos técnicos a diferentes Entidades Territoriales encargadas de la formulación de proyectos del sector de agua potable y saneamiento básico de los </t>
    </r>
    <r>
      <rPr>
        <b/>
        <sz val="18"/>
        <rFont val="Book Antiqua"/>
        <family val="1"/>
      </rPr>
      <t>500</t>
    </r>
    <r>
      <rPr>
        <sz val="18"/>
        <rFont val="Book Antiqua"/>
        <family val="1"/>
      </rPr>
      <t xml:space="preserve"> programados.                                                                                             </t>
    </r>
  </si>
  <si>
    <r>
      <t xml:space="preserve">En el periodo comprendido entre Enero - Junio  (2016), la Subdirección de Proyectos de la Dirección de Programas ha  </t>
    </r>
    <r>
      <rPr>
        <b/>
        <sz val="18"/>
        <rFont val="Book Antiqua"/>
        <family val="1"/>
      </rPr>
      <t xml:space="preserve">realizado  487 </t>
    </r>
    <r>
      <rPr>
        <sz val="18"/>
        <rFont val="Book Antiqua"/>
        <family val="1"/>
      </rPr>
      <t xml:space="preserve"> acompañamientos técnicos a diferentes Entidades Territoriales encargadas de la formulación de proyectos del sector de agua potable y saneamiento básico de los </t>
    </r>
    <r>
      <rPr>
        <b/>
        <sz val="18"/>
        <rFont val="Book Antiqua"/>
        <family val="1"/>
      </rPr>
      <t>800</t>
    </r>
    <r>
      <rPr>
        <sz val="18"/>
        <rFont val="Book Antiqua"/>
        <family val="1"/>
      </rPr>
      <t xml:space="preserve"> programados.                                                                                             </t>
    </r>
  </si>
  <si>
    <r>
      <t xml:space="preserve">En el periodo comprendido entre Enero a Septiembre (2016), la Subdirección de Proyectos de la Dirección de Programas ha  realizado  acompañamiento técnico a diferentes Entidades Territoriales encargadas de la formulación de proyectos del sector de agua potable y saneamiento básico, con el fin de agilizar la presentación de proyectos y que éstos cumplan con los requisitos de la normativa vigente, que potencialmente podrían ser financiados con recursos 2016 y otros esquemas. </t>
    </r>
    <r>
      <rPr>
        <b/>
        <sz val="18"/>
        <color indexed="8"/>
        <rFont val="Book Antiqua"/>
        <family val="1"/>
      </rPr>
      <t>Revisándose  780 proyectos</t>
    </r>
    <r>
      <rPr>
        <sz val="18"/>
        <color indexed="8"/>
        <rFont val="Book Antiqua"/>
        <family val="1"/>
      </rPr>
      <t xml:space="preserve"> </t>
    </r>
    <r>
      <rPr>
        <sz val="18"/>
        <rFont val="Book Antiqua"/>
        <family val="1"/>
      </rPr>
      <t xml:space="preserve">de los </t>
    </r>
    <r>
      <rPr>
        <b/>
        <sz val="18"/>
        <rFont val="Book Antiqua"/>
        <family val="1"/>
      </rPr>
      <t>800</t>
    </r>
    <r>
      <rPr>
        <sz val="18"/>
        <rFont val="Book Antiqua"/>
        <family val="1"/>
      </rPr>
      <t xml:space="preserve"> programados.                                                                                             
</t>
    </r>
  </si>
  <si>
    <r>
      <t xml:space="preserve">En el periodo comprendido entre Enero – Marzo (2016), se han </t>
    </r>
    <r>
      <rPr>
        <b/>
        <sz val="18"/>
        <rFont val="Book Antiqua"/>
        <family val="1"/>
      </rPr>
      <t xml:space="preserve">realizado  127  </t>
    </r>
    <r>
      <rPr>
        <sz val="18"/>
        <rFont val="Book Antiqua"/>
        <family val="1"/>
      </rPr>
      <t>asistencias técnicas relacionadas con la socialización del mecanismo de viabilización de los proyectos, de las</t>
    </r>
    <r>
      <rPr>
        <b/>
        <sz val="18"/>
        <rFont val="Book Antiqua"/>
        <family val="1"/>
      </rPr>
      <t xml:space="preserve"> 250</t>
    </r>
    <r>
      <rPr>
        <sz val="18"/>
        <rFont val="Book Antiqua"/>
        <family val="1"/>
      </rPr>
      <t xml:space="preserve"> programadas, en los siguientes Departamentos: Amazonas, Bolivar, Boyacá, Cauca, Cesar, Choco, Córdoba, Cundinamarca, Guajira, Huila, Magdalena, Meta, Nariño, Putumayo,  San Andres y Santander, Tolima, Valle del Cauca y Vichada.  
</t>
    </r>
    <r>
      <rPr>
        <sz val="18"/>
        <rFont val="Book Antiqua"/>
        <family val="1"/>
      </rPr>
      <t xml:space="preserve">
</t>
    </r>
  </si>
  <si>
    <r>
      <t xml:space="preserve">En el periodo comprendido entre Enero – Junio  (2016), se han </t>
    </r>
    <r>
      <rPr>
        <b/>
        <sz val="18"/>
        <rFont val="Book Antiqua"/>
        <family val="1"/>
      </rPr>
      <t xml:space="preserve">realizado  243 </t>
    </r>
    <r>
      <rPr>
        <sz val="18"/>
        <rFont val="Book Antiqua"/>
        <family val="1"/>
      </rPr>
      <t xml:space="preserve"> asistencias técnicas relacionadas con la socialización del mecanismo de viabilización de los proyectos, de las  </t>
    </r>
    <r>
      <rPr>
        <b/>
        <sz val="18"/>
        <rFont val="Book Antiqua"/>
        <family val="1"/>
      </rPr>
      <t xml:space="preserve">320 </t>
    </r>
    <r>
      <rPr>
        <sz val="18"/>
        <rFont val="Book Antiqua"/>
        <family val="1"/>
      </rPr>
      <t xml:space="preserve">programadas, en los siguientes Departamentos: Antioquia, Arauca, Atlantico, Bolivar, Boyacá, Calds, Casanare, Cauca, Cauca, Cesar, Choco, Cordoba, Cundinamarca, Guajira, Guaviare, Magdalena, Meta, Nariño, Norte de Santander, Putumayo, Quindio, Risaralda, Santander, Sucre, Tolima, valle del Cauca, Vaupes  y Vichada.  
</t>
    </r>
  </si>
  <si>
    <r>
      <t>En el periodo comprendido entre Enero – Septiembre (2016), s</t>
    </r>
    <r>
      <rPr>
        <b/>
        <sz val="18"/>
        <color indexed="8"/>
        <rFont val="Book Antiqua"/>
        <family val="1"/>
      </rPr>
      <t>e han realizado 357 asistencias técnicas</t>
    </r>
    <r>
      <rPr>
        <sz val="18"/>
        <color indexed="8"/>
        <rFont val="Book Antiqua"/>
        <family val="1"/>
      </rPr>
      <t xml:space="preserve"> a nivel nacional relacionadas con la socialización del mecanismo de viabilización de los proyectos del sector de agua potable y saneamiento básico,  de las  320 programadas.
Esta asistencia brindada por el MVCT le ha permitido a las entidades territoriales adquirir solidez en la formulación y maduración de los proyectos que se presentan para ser financiados y ha brindado mayores niveles de transparencia y confianza en el proceso.
</t>
    </r>
    <r>
      <rPr>
        <sz val="18"/>
        <rFont val="Book Antiqua"/>
        <family val="1"/>
      </rPr>
      <t xml:space="preserve">  
</t>
    </r>
    <r>
      <rPr>
        <sz val="18"/>
        <rFont val="Book Antiqua"/>
        <family val="1"/>
      </rPr>
      <t xml:space="preserve">
</t>
    </r>
  </si>
  <si>
    <r>
      <t xml:space="preserve">A corte del 30 de junio de 2016, el FNA cuenta con </t>
    </r>
    <r>
      <rPr>
        <b/>
        <sz val="18"/>
        <rFont val="Book Antiqua"/>
        <family val="1"/>
      </rPr>
      <t xml:space="preserve">1.872.509 </t>
    </r>
    <r>
      <rPr>
        <sz val="18"/>
        <rFont val="Book Antiqua"/>
        <family val="1"/>
      </rPr>
      <t xml:space="preserve">afiliados por Cesantías y AVC.
</t>
    </r>
  </si>
  <si>
    <r>
      <t xml:space="preserve">A corte del 30 de junio de 2016, el FNA cuenta con </t>
    </r>
    <r>
      <rPr>
        <b/>
        <sz val="18"/>
        <rFont val="Book Antiqua"/>
        <family val="1"/>
      </rPr>
      <t xml:space="preserve">19.972 </t>
    </r>
    <r>
      <rPr>
        <sz val="18"/>
        <rFont val="Book Antiqua"/>
        <family val="1"/>
      </rPr>
      <t xml:space="preserve">créditos para vivienda aprobados.
</t>
    </r>
  </si>
  <si>
    <r>
      <t>A corte del 30 de Septiembre de 2016, el FNA cuenta con</t>
    </r>
    <r>
      <rPr>
        <b/>
        <sz val="18"/>
        <rFont val="Book Antiqua"/>
        <family val="1"/>
      </rPr>
      <t xml:space="preserve"> 35.393</t>
    </r>
    <r>
      <rPr>
        <sz val="18"/>
        <rFont val="Book Antiqua"/>
        <family val="1"/>
      </rPr>
      <t xml:space="preserve"> créditos para vivienda aprobados.
</t>
    </r>
  </si>
  <si>
    <r>
      <t>A corte del 30 de septiembre de 2016, el FNA cuenta con</t>
    </r>
    <r>
      <rPr>
        <b/>
        <sz val="18"/>
        <rFont val="Book Antiqua"/>
        <family val="1"/>
      </rPr>
      <t xml:space="preserve"> 1.886.236</t>
    </r>
    <r>
      <rPr>
        <sz val="18"/>
        <rFont val="Book Antiqua"/>
        <family val="1"/>
      </rPr>
      <t xml:space="preserve"> afiliados por Cesantías y AVC.
</t>
    </r>
  </si>
  <si>
    <t xml:space="preserve">El nivel de cumplimiento con corte a 31 de de marzo de 2016 es del 99,5%, correspondiente a la respuestas dadas a las solicitudes sobre consultas de gestión regulatoria formuladas.                                                      </t>
  </si>
  <si>
    <t xml:space="preserve">Se esta revisando parte de la Dirección Ejecutiva, las fechas mas adecuadas para la realización de los dos talleres planteados. Una vez se cuente con esta información se presentará para aprobación por parte del C.E.
</t>
  </si>
  <si>
    <r>
      <rPr>
        <b/>
        <sz val="18"/>
        <rFont val="Book Antiqua"/>
        <family val="1"/>
      </rPr>
      <t>1.</t>
    </r>
    <r>
      <rPr>
        <sz val="18"/>
        <rFont val="Book Antiqua"/>
        <family val="1"/>
      </rPr>
      <t xml:space="preserve">  Se realizó el 26 de mayo de 2016 un Taller virtual de aplicación del Marco tarifario de Acueducto y Alcantarillado,  dirigido a prestadores Dpto. de Antioquia, en conjunto con las Empresas Públicas de Medellin y la CRA.
</t>
    </r>
    <r>
      <rPr>
        <b/>
        <sz val="18"/>
        <rFont val="Book Antiqua"/>
        <family val="1"/>
      </rPr>
      <t xml:space="preserve">2.  </t>
    </r>
    <r>
      <rPr>
        <sz val="18"/>
        <rFont val="Book Antiqua"/>
        <family val="1"/>
      </rPr>
      <t xml:space="preserve">El segundo taller se realizó de manera presencial el 17 de junio de 2016 en la Ciudad de Bogotá, dirigido a los municipios del Departamento de Cundinamarca, sobre aplicación de los marcos tarifarios de acueducto, alcantarillado y aseo.
</t>
    </r>
  </si>
  <si>
    <r>
      <t xml:space="preserve">Con corte a 2015, porcentaje de hogares urbanos en déficit cuantitativo se ubica en 6,75%.  
La estimación del déficit se realiza a partir de información muestral proveniente de la Gran Encuesta Integrada de Hogares del DANE, que tiene una cobertura mensual de 19 mil hogares en 24 departamentos del país. Para obtener una estimación estadísticamente robusta se agregan los doce meses del año, por lo cual el indicador solo se puede obtener con periodicidad anual y con un rezago de tres meses a partir del corte de la información.                                                                                        
</t>
    </r>
  </si>
  <si>
    <r>
      <t xml:space="preserve">Con corte a 2015, porcentaje de hogares urbanos en déficit cualitativo se ubica en 10.97%.  
La estimación del déficit se realiza a partir de información muestral proveniente de la Gran Encuesta Integrada de Hogares del DANE, que tiene una cobertura mensual de 19 mil hogares en 24 departamentos del país. Para obtener una estimación estadísticamente robusta se agregan los doce meses del año, por lo cual el indicador solo se puede obtener con periodicidad anual y con un rezago de tres meses a partir del corte de la información.                                                                                        
</t>
    </r>
  </si>
  <si>
    <t xml:space="preserve">Se Formuló y Publicó el Plan Anticorrupción y de atención al ciudadano,  de acuerdo a la nueva metodología del decreto 124 de 2016, la implementación se desarrollara durante la vigencia.                                                                                                             </t>
  </si>
  <si>
    <t xml:space="preserve">Se encuentra en etapa de implementación, se realizó el primer seguimiento al plan, con corte a Abril 30 de 2016 por parte de la Oficina de Control Interno.   
Posteriormente se efectúo el primer monitoreo a los componentes por parte de la Oficina Asesora de Planeación,  en conjunto con los responsables de cada una de las dependencias del ministerio.
</t>
  </si>
  <si>
    <t xml:space="preserve">Se encuentra en etapa de implementación, se realizó el seguimiento al plan con corte a Agosto 31 de 2016 por parte de la Oficina de Control Interno, se espera reaizar el segundo monitoreo por parte de la OAP en el mes de Noviembre de 2016.
</t>
  </si>
  <si>
    <t xml:space="preserve">El FNA formuló y publico el Plan Anticorrupción y de Atención al Ciudadano, 
según la metodologia legalmente establecida.  (Ver Link)
http://www.fna.gov.co/wps/wcm/connect/b7da6dfc-01e6-43e4-869a-324dce6fdd20/Proyecto_plan_anticorrupcion_y_atencion_al_ciudadano__2016.
pdf?MOD=AJPERES                                                    </t>
  </si>
  <si>
    <t xml:space="preserve">La entidad formuló y publicó el Plan Anticorrupción y de Atencion al ciudano en la página web. La implementación se estará efectuando durante la presente vigencia.
</t>
  </si>
  <si>
    <t xml:space="preserve">El nivel de avance de la formulación e implementación del Plan Anticorrupción y de atención al Ciudadano al segundo trimestre de la vigencia se encuentra en un 50%.                                                                                                         </t>
  </si>
  <si>
    <t xml:space="preserve">A corte del 30 de septiembre de 2016, se cumple con la formulación, implementación y publicación del Plan Anticorrupción.
</t>
  </si>
  <si>
    <t xml:space="preserve">El nivel de avance de la formulación e implementación del Plan Anticorrupción y de atención al Ciudadano al tercer trimestre de la vigencia se encuentra en un 60%.
</t>
  </si>
  <si>
    <t xml:space="preserve">Por parte del MVCT se realizo el ajuste al sitio de la ley de Transparencia para dar cumplimiento a la Ley 1712, Decreto 103 y a la Resolucion 3564 de diciembre de 2015, para alinearse a los temas planteados,  conforme a la estructura planteada  por dicha resolución y ajustes de la estrategia de Gobierno en Linea, GEL.                                                                             </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</si>
  <si>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t>
  </si>
  <si>
    <t xml:space="preserve">El Ministerio realizó reunión con el sector con el con el propósito de unifcar en botón de transparencia que cada entidad tiene en la página Web.   Siguiendola directriz del Gobierno Nacional, el Ministerio incluyó en el botón de transparencia un item denominado "Declaración Voluntaria de Bienes y Rentas" donde los altos funcionarios podrán publicar dicha declaración. 
A corte de 30 de junio el Ministerio cumple con la totalidad de las exigencias hechas por la ley de transparencia. Se espera la visita de seguimiento por parte de la Procuraduria.
</t>
  </si>
  <si>
    <t xml:space="preserve">En la página web de la entidad, la información referente a la Ley de Transparencia se organizó conforme a los estándares definidos en el Decreto 103 de 2015. 
Con relación a los "estándares para publicación y divulgación de la información" establecidos en Artículo 3, de la Resolución 3564 de 2015, la entidad esta efectuando los ajustes correspondientes, a fin de cumplir con la obligación establecida. 
Se continúa adelantando el proceso de evaluación de cambio de la página web, con el fin de cumplir en mejor forma, con lo establecido en la Ley.  
</t>
  </si>
  <si>
    <t xml:space="preserve">Se sigue trabajando en el ajuste de la organización de la información de los "estándares para publicación y divulgación de la información" establecidos en Artículo 3, de la Resolución 3564 de 2015, la entidad esta efectuando los ajustes correspondientes, a fin de cumplir con la obligación establecida. 
Se continúa adelantando el proceso de evaluación de cambio de la página web, con el fin de cumplir en mejor forma, con lo establecido en la Ley.  
</t>
  </si>
  <si>
    <t xml:space="preserve">Se está a la espera de la visita de la Procuraduría,  para recibir la respectiva retroalimentación y recomendaciones que esta entidad realice.
</t>
  </si>
  <si>
    <t xml:space="preserve">Se esta trabajando con las áreas del FNA los planes de trabajo para cumplir con la normatividad en materia de la actualización y publicación de los componentes que integran la Ley de transparencia y acceso a la información, atendiendo tambien la Circular Interna expedida. 
Así mismo, considerando el estado del avance del proyecto de Gestión Documental, Tablas de Retención y Cuadros de clasificación Documental, se realizaron mesas de trabajo con el Archivo General de la Nación, las cuales generaron informes parciales y se está adelantando el plan de acción para darle cumplimiento al mismo. 
</t>
  </si>
  <si>
    <r>
      <t xml:space="preserve">En la actualidad, han sido publicado en la página web los siguientes documentos:                                                                        
</t>
    </r>
    <r>
      <rPr>
        <b/>
        <sz val="16"/>
        <color indexed="8"/>
        <rFont val="Book Antiqua"/>
        <family val="1"/>
      </rPr>
      <t>1</t>
    </r>
    <r>
      <rPr>
        <sz val="16"/>
        <color indexed="8"/>
        <rFont val="Book Antiqua"/>
        <family val="1"/>
      </rPr>
      <t xml:space="preserve">. Plan Anticorrupción y Atención al Ciudadano.                                                                   </t>
    </r>
    <r>
      <rPr>
        <b/>
        <sz val="16"/>
        <color indexed="8"/>
        <rFont val="Book Antiqua"/>
        <family val="1"/>
      </rPr>
      <t>2</t>
    </r>
    <r>
      <rPr>
        <sz val="16"/>
        <color indexed="8"/>
        <rFont val="Book Antiqua"/>
        <family val="1"/>
      </rPr>
      <t xml:space="preserve">. Informe de Gestión 2015.                                                    
</t>
    </r>
    <r>
      <rPr>
        <b/>
        <sz val="16"/>
        <color indexed="8"/>
        <rFont val="Book Antiqua"/>
        <family val="1"/>
      </rPr>
      <t>3</t>
    </r>
    <r>
      <rPr>
        <sz val="16"/>
        <color indexed="8"/>
        <rFont val="Book Antiqua"/>
        <family val="1"/>
      </rPr>
      <t xml:space="preserve">. Plan de Acción 2016.                                                        </t>
    </r>
  </si>
  <si>
    <t xml:space="preserve">Durante el primer trimestre de 2016, la entidad publicó tres (3) proyectos normativos Resoluciones CRA 730, 734 y 738,  adicionalmente el Plan Anticorrupción y de Atención al Ciudadano 2016, El Plan de Acción 2016 e Informe de Gestión 2015, con oportunidad para consulta y participación de grupos de interés y ciudadanía en general.
</t>
  </si>
  <si>
    <r>
      <t xml:space="preserve">* El </t>
    </r>
    <r>
      <rPr>
        <b/>
        <sz val="14"/>
        <color indexed="8"/>
        <rFont val="Book Antiqua"/>
        <family val="1"/>
      </rPr>
      <t>VAPSB:                                                                                        
1.</t>
    </r>
    <r>
      <rPr>
        <sz val="14"/>
        <color indexed="8"/>
        <rFont val="Book Antiqua"/>
        <family val="1"/>
      </rPr>
      <t xml:space="preserve"> El 22 de febrero al 7 de marzo el proyecto normativo por el cual se modifica el artículo 2.3.4.3.3. del capítulo 3 del Título 4 del Decreto 1077 de 2015.                                                                         * </t>
    </r>
    <r>
      <rPr>
        <b/>
        <sz val="14"/>
        <color indexed="8"/>
        <rFont val="Book Antiqua"/>
        <family val="1"/>
      </rPr>
      <t>En el VV</t>
    </r>
    <r>
      <rPr>
        <sz val="14"/>
        <color indexed="8"/>
        <rFont val="Book Antiqua"/>
        <family val="1"/>
      </rPr>
      <t xml:space="preserve"> : la DSH 
</t>
    </r>
    <r>
      <rPr>
        <b/>
        <sz val="14"/>
        <color indexed="8"/>
        <rFont val="Book Antiqua"/>
        <family val="1"/>
      </rPr>
      <t>1.</t>
    </r>
    <r>
      <rPr>
        <sz val="14"/>
        <color indexed="8"/>
        <rFont val="Book Antiqua"/>
        <family val="1"/>
      </rPr>
      <t xml:space="preserve">  Proyecto Resolución “Por la cual se establecen criterios para realizar redistribuciones de cupos de recursos en el marco del Programa de Vivienda de Interés Prioritario para Ahorradores - VIPA”. Fecha Publicación 08 de febrero de 2016
</t>
    </r>
    <r>
      <rPr>
        <b/>
        <sz val="14"/>
        <color indexed="8"/>
        <rFont val="Book Antiqua"/>
        <family val="1"/>
      </rPr>
      <t>2.</t>
    </r>
    <r>
      <rPr>
        <sz val="14"/>
        <color indexed="8"/>
        <rFont val="Book Antiqua"/>
        <family val="1"/>
      </rPr>
      <t xml:space="preserve"> Proyecto Resolución “Por la cual se definen los Departamentos y/o Municipios en los que se implementará el Programa de Promoción de Acceso a la Vivienda de Interés Social  - Mi Casa Ya”  Fecha Publicación 10 de febrero de 2016                                                                                                  
</t>
    </r>
    <r>
      <rPr>
        <b/>
        <sz val="14"/>
        <color indexed="8"/>
        <rFont val="Book Antiqua"/>
        <family val="1"/>
      </rPr>
      <t>* OAP :</t>
    </r>
    <r>
      <rPr>
        <sz val="14"/>
        <color indexed="8"/>
        <rFont val="Book Antiqua"/>
        <family val="1"/>
      </rPr>
      <t xml:space="preserve">  </t>
    </r>
    <r>
      <rPr>
        <b/>
        <sz val="14"/>
        <color indexed="8"/>
        <rFont val="Book Antiqua"/>
        <family val="1"/>
      </rPr>
      <t>1.</t>
    </r>
    <r>
      <rPr>
        <sz val="14"/>
        <color indexed="8"/>
        <rFont val="Book Antiqua"/>
        <family val="1"/>
      </rPr>
      <t xml:space="preserve"> Plan Anticorrupción 2015.  </t>
    </r>
    <r>
      <rPr>
        <b/>
        <sz val="14"/>
        <color indexed="8"/>
        <rFont val="Book Antiqua"/>
        <family val="1"/>
      </rPr>
      <t>2.</t>
    </r>
    <r>
      <rPr>
        <sz val="14"/>
        <color indexed="8"/>
        <rFont val="Book Antiqua"/>
        <family val="1"/>
      </rPr>
      <t xml:space="preserve"> Plan de acción 2016. </t>
    </r>
    <r>
      <rPr>
        <b/>
        <sz val="14"/>
        <color indexed="8"/>
        <rFont val="Book Antiqua"/>
        <family val="1"/>
      </rPr>
      <t>3.</t>
    </r>
    <r>
      <rPr>
        <sz val="14"/>
        <color indexed="8"/>
        <rFont val="Book Antiqua"/>
        <family val="1"/>
      </rPr>
      <t xml:space="preserve"> Informe de Gestión 2015.                                                                   </t>
    </r>
  </si>
  <si>
    <r>
      <t xml:space="preserve">* El </t>
    </r>
    <r>
      <rPr>
        <b/>
        <sz val="14"/>
        <color indexed="8"/>
        <rFont val="Book Antiqua"/>
        <family val="1"/>
      </rPr>
      <t xml:space="preserve">VAPSB:                                                                                                                                          </t>
    </r>
    <r>
      <rPr>
        <b/>
        <sz val="18"/>
        <color indexed="8"/>
        <rFont val="Book Antiqua"/>
        <family val="1"/>
      </rPr>
      <t>1.</t>
    </r>
    <r>
      <rPr>
        <b/>
        <sz val="14"/>
        <color indexed="8"/>
        <rFont val="Book Antiqua"/>
        <family val="1"/>
      </rPr>
      <t xml:space="preserve">  </t>
    </r>
    <r>
      <rPr>
        <sz val="14"/>
        <color indexed="8"/>
        <rFont val="Book Antiqua"/>
        <family val="1"/>
      </rPr>
      <t xml:space="preserve"> Proyecto Normativo por el cual se establece el plazo del artículo 2.3.5.1.2.1.9 del Decreto 1077 de 2015, publicado en la página web del 26 al 29 de Abril. 
Se actualizó la página web, capitilo VIceministerio de Agua en los temas de RAS y Residuos solidos en los siguientes link: 
http://www.minvivienda.gov.co/viceministerios/viceministerio-de-agua/planes-de-gestion-integral-de-residuos-solidos
http://www.minvivienda.gov.co/viceministerios/viceministerio-de-agua/alianza-para-el-reciclaje-inclusivo
http://www.minvivienda.gov.co/viceministerios/viceministerio-de- agua/reglamento-tecnico-del-sector                                                                                                * </t>
    </r>
    <r>
      <rPr>
        <b/>
        <sz val="14"/>
        <color indexed="8"/>
        <rFont val="Book Antiqua"/>
        <family val="1"/>
      </rPr>
      <t>En el VV</t>
    </r>
    <r>
      <rPr>
        <sz val="14"/>
        <color indexed="8"/>
        <rFont val="Book Antiqua"/>
        <family val="1"/>
      </rPr>
      <t xml:space="preserve"> : la DSH 
</t>
    </r>
    <r>
      <rPr>
        <b/>
        <sz val="18"/>
        <color indexed="8"/>
        <rFont val="Book Antiqua"/>
        <family val="1"/>
      </rPr>
      <t>2.</t>
    </r>
    <r>
      <rPr>
        <sz val="14"/>
        <color indexed="8"/>
        <rFont val="Book Antiqua"/>
        <family val="1"/>
      </rPr>
      <t xml:space="preserve">   Proyecto Resolución "Por el cual se modifica el numeral 2o. del artículo 2.1.1.3.3.4 del Decreto 1077 de 2015 en relación con las fechas de desembolso de la cobertura de la tasa de interés en el marco del Programa de Vivienda de Interés Prioritario para Ahorradores". Fecha Publicación 6 de mayo de 2016
                                                                                                                                                                                                                                                                                                                                                                              </t>
    </r>
  </si>
  <si>
    <r>
      <t xml:space="preserve">Se realizó una reunion sectorial el dia 14 de marzo con el proposito de identificar las necesidad para la crecion del foro virtual y apoyados por parte de mintic (urna de cristal), los temas para validar son los siguientes:
- El MVCT Coordinará el lugar, fecha y hora donde se llevará a cabo el foro, para lo cual el Ingeniero Nelson Posada entrará en contacto con los Viceministerios a fin de lograr obtener una propuesta.                                                   </t>
    </r>
    <r>
      <rPr>
        <sz val="18"/>
        <color indexed="8"/>
        <rFont val="Book Antiqua"/>
        <family val="1"/>
      </rPr>
      <t xml:space="preserve">                                   
</t>
    </r>
  </si>
  <si>
    <t xml:space="preserve">Se realizó una reunion sectorial para identificar las actividades y las tematicas del Foro, en el cual se propuso definir el tema como el Fenomeno de la Niña, el cual fue propuesto por parte del Viceministerio de Agua (Angelica Bustillo), esta propuesta debe ser socializada con el viceminsiterio de vivienda, en el cual no han participado de forma directa para dar cumplimiento. 
Se debe solictar al viceministerio de vivienda otra prouesta para tener diferentes temas que tratar en dicho foro, sigue pendiente realizar la solicitud a urna de cristal para definir el espacio virtual por medio de dichas herramientas tecnologicas.
</t>
  </si>
  <si>
    <t xml:space="preserve">Se realizará el Foro Virtual Sectorial el 20 de Octubre de 2016 en Urna de Cristal en las instalaciones de MinTic, donde participarán el FNA, la CRA y el Ministerio de Vivienda Ciudad y Territorio.
</t>
  </si>
  <si>
    <t xml:space="preserve">En reunión efectuada el día 14 de marzo de 2016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t>
  </si>
  <si>
    <t xml:space="preserve">Las entidades del Sector definieron realizar el Foro Virtual en el mes de Octubre (20 de octubre) y el tema propuesta es el Posconflicto, en colaboración con el MINTIC.
</t>
  </si>
  <si>
    <t xml:space="preserve">Se definió con las entidades del Sector el tema y se validó por parte de ministerio la realización del foro. 
El foro se realizará el jueves 20 de octubre en horas de la tarde, mediante la herramienta de hangouts.
</t>
  </si>
  <si>
    <t xml:space="preserve">Se realizó reunión con el Ministerio de Vivienda y la CRA para definir el tema a tratar en el foro virtual y la logistica del mismo.
Se encuentra pendiente la validación de algunos aspectos a tener en cuenta por parte de Urna Virtual y DNP.
</t>
  </si>
  <si>
    <t xml:space="preserve">Primera reunión del sector el día 14 de Marzo de 2016, donde se definió que el Ministerio remitirá los temas a tratar y el foro se realizará a través de urna de cristal. Logistica a cargo del Ministerio.                                                      </t>
  </si>
  <si>
    <t xml:space="preserve">El componente de "Rendición de cuentas" se encuentra formulado, bajo la nueva metodología según el Decreto 124 de 2016, "Plan Anticorrupción y de Atención al Ciudadano" el cual se encuentra publicado.                                                                                                </t>
  </si>
  <si>
    <r>
      <rPr>
        <b/>
        <sz val="15"/>
        <color indexed="8"/>
        <rFont val="Book Antiqua"/>
        <family val="1"/>
      </rPr>
      <t>1)</t>
    </r>
    <r>
      <rPr>
        <sz val="15"/>
        <color indexed="8"/>
        <rFont val="Book Antiqua"/>
        <family val="1"/>
      </rPr>
      <t xml:space="preserve"> Mayo 27 de 2016 - Reunión Grupo Interdiciplinario de Rendición de cuentas, en esta reunión se realizó la revisión y ajustes al documento compiliatorio de las actividades de acuerdo con la metodología establecida para la rendición de cuentas.
</t>
    </r>
    <r>
      <rPr>
        <b/>
        <sz val="15"/>
        <color indexed="8"/>
        <rFont val="Book Antiqua"/>
        <family val="1"/>
      </rPr>
      <t>2)</t>
    </r>
    <r>
      <rPr>
        <sz val="15"/>
        <color indexed="8"/>
        <rFont val="Book Antiqua"/>
        <family val="1"/>
      </rPr>
      <t xml:space="preserve"> En reunión del  10 de junio de 2016, se acordó realizar la rendición de cuentas en el municipio de  Santander de Quilichao – Cauca, el 8 de Octubre de 2016 en el marco de las ferias de servicio al ciudadano.
</t>
    </r>
    <r>
      <rPr>
        <b/>
        <sz val="15"/>
        <color indexed="8"/>
        <rFont val="Book Antiqua"/>
        <family val="1"/>
      </rPr>
      <t>3)</t>
    </r>
    <r>
      <rPr>
        <sz val="15"/>
        <color indexed="8"/>
        <rFont val="Book Antiqua"/>
        <family val="1"/>
      </rPr>
      <t xml:space="preserve"> Durante el periodo comprendido entre abril y junio de 2016, a través del programa de Radio Escala se han emitido seis programas en los cuales se han incluido la sección de Usted Qué Opina? con sus respectivas crónicas.
</t>
    </r>
    <r>
      <rPr>
        <b/>
        <sz val="15"/>
        <color indexed="8"/>
        <rFont val="Book Antiqua"/>
        <family val="1"/>
      </rPr>
      <t xml:space="preserve">4) </t>
    </r>
    <r>
      <rPr>
        <sz val="15"/>
        <color indexed="8"/>
        <rFont val="Book Antiqua"/>
        <family val="1"/>
      </rPr>
      <t xml:space="preserve">Durante el periodo comprendido entre mayo y junio de 2016, a través del programa de TV Escala se han emitido seis programas en los cuales se han incluido la sección Min Vivienda Responde, en la cual la población tiene la oportunidad de preguntar a la Ministra sobre los diferentes temas que aborda el Ministerio
</t>
    </r>
    <r>
      <rPr>
        <b/>
        <sz val="15"/>
        <color indexed="8"/>
        <rFont val="Book Antiqua"/>
        <family val="1"/>
      </rPr>
      <t xml:space="preserve">5) </t>
    </r>
    <r>
      <rPr>
        <sz val="15"/>
        <color indexed="8"/>
        <rFont val="Book Antiqua"/>
        <family val="1"/>
      </rPr>
      <t xml:space="preserve">Se estableció que para el mes de noviembre de 2016, se llevará a cabo la Audiencia Pública de Rendición de cuentas.
</t>
    </r>
    <r>
      <rPr>
        <sz val="14"/>
        <color indexed="8"/>
        <rFont val="Book Antiqua"/>
        <family val="1"/>
      </rPr>
      <t xml:space="preserve">
</t>
    </r>
    <r>
      <rPr>
        <sz val="14"/>
        <color indexed="8"/>
        <rFont val="Book Antiqua"/>
        <family val="1"/>
      </rPr>
      <t xml:space="preserve">
</t>
    </r>
  </si>
  <si>
    <r>
      <t xml:space="preserve">1) Agosto 2 de 2016 - Reunión Grupo Interdiciplinario de Rendición de cuentas, ajustes estrategia de Rendición de Cuentas.
2) Septiembre 5 de 2016, Revisión resultados FURAG, ITN, Transparencia. Se identificó los indicadores en los cuales no se cumplio al 100% en el 2015, y se identificarón soluciones para los mismos en el 2016
3) Septiembre 7 de 2016 - Reunión Grupo Interdiciplinario de Rendición de cuentas, DNP, FNA y CRA. Reunión preparatoria Rendición de Cuentas en el marco de la Feria de Servicios en Santander de Quilichao octubre 8 de 2016, se establecieron lineamientos pora parte de DNP para la realización de la rendición en el marco de la feria.
4) Septiembre 12 de 2016 - Reunión Grupo Interdiciplinario de Rendición de cuentas. Se estableció el cronograma de trabajo para la Fereia de Gestión del Sector en Santander de Quilichao octubre 8 de 2016, de acuerdo con los lineamientos dados por DNP
5) Septiembre 26 de 2016, reunión preparatoria Feria de Gestión del sector vivienda, Ciudad y Territorio con la participación de la Directora de Planeación y la Secretaria Privada de la señora Ministra. En esta reunión se definieron temas de logística, información la cual se dará a conocer en la Rendición y participantes.
6) Durante el periodo comprendido entre julio y septiembre de 2016, a través del programa de Radio Escala se han emitido 16 programas en los cuales se han incluido la sección de Usted Qué Opina? con sus respectivas crónicas.
7) Durante el periodo comprendido entre julio y septiembre de 2016, a través del programa de TV Escala se han emitido 11 programas en los cuales se han incluido la sección Min Vivienda Responde, en la cual la población tiene la oportunidad de preguntar a la Ministra sobre los diferentes temas que aborda el Ministerio
8) Durante el trimestre de julio a septiembre de 2016, la Ministra participó en 16 Hangout de El Tiempo
9) Se estableció que el 25 de noviembre de 2016, se llevará a cabo la Audiencia Pública de Rendición de cuentas, debido a que el estudio de RTVC no esta disponible para el 30 de noviembre de 2016.
</t>
    </r>
  </si>
  <si>
    <t xml:space="preserve">La estratégia de rendición de cuentas, fue publicada dentro del Plan Anticorrupción y Atención al Ciudadano.                                                                             </t>
  </si>
  <si>
    <r>
      <t xml:space="preserve">La entidad definió el responsable que al interior desarrollara el tema.                  </t>
    </r>
    <r>
      <rPr>
        <sz val="18"/>
        <color indexed="8"/>
        <rFont val="Book Antiqua"/>
        <family val="1"/>
      </rPr>
      <t xml:space="preserve">
</t>
    </r>
  </si>
  <si>
    <t xml:space="preserve">El FNA cuenta con la estrategia de rendición de cuentas la cual se encuentra publicada en la página web.  La estrategia esta programada hasta diciembre de 2016.
</t>
  </si>
  <si>
    <t xml:space="preserve">La entidad formuló y publicó en la página web institucional el documento Estrategia de Rendición de Cuentas y se viene desarrollando conforme a los aspectos establecidos,  necesidades y requermientos institucionales .
</t>
  </si>
  <si>
    <t xml:space="preserve">La entidad formuló y publicó en la página web institucional el documento Estrategia de Rendición de Cuentas y se viene Implementando conforme a los aspectos establecidos,  necesidades y requermientos institucionales .
</t>
  </si>
  <si>
    <t xml:space="preserve">Hasta la fecha no se han realizado ferias de servicio al ciudadano a nivel Nacional,  se tiene proyectado por el MVCT asistir a las  ferias programadas por el DNP para está vigencia:                                                                                    - Villa del Rosario(Nte. de Santander) Junio 11
- Florencia (Caquetá) Julio 30
- Sincé (Sucre) Noviembre 26                                                                                              </t>
  </si>
  <si>
    <t xml:space="preserve">A la fecha el Ministerio a participado en tres (3) ferias de servicio al ciudadano en los municipios de:  Quibdo (30 Abril), Villa Del Rosario (08 Julio) y Florencia 20 Agosto),  no obstante,  a nivel sectorial se ha asistido a 2 FNSC, se espera cumplir con el indicador con la asistencia a la Feria del municipio de Santander de Quilichao en el mes de Octubre. 
</t>
  </si>
  <si>
    <t xml:space="preserve">Las entidades del Sector participaron conjuntamente en las siguientes Ferias de Atención al Ciudadano:
Villa del Rosario (Norte de Santander) 09 de Julio de 2016
Florencia (Caqueta) 20 de Agosto de 2016
Lo anterior de acuerdo con el cronograma definido por el DNP.
</t>
  </si>
  <si>
    <t xml:space="preserve">A corte del 30 de septiembre de 2016, el FNA ha participado en 2 de las 3 ferias de Servicio y Atención Ciudadana programadas por el DNP.
</t>
  </si>
  <si>
    <t xml:space="preserve">Se acordó que las entidades del Sector participarán conjuntamente en las siguientes Ferias:
- Villa del Rosario(Nte. de Santander)Junio 11
- Florencia (Caquetá) Julio 30
- Sincé (Sucre) Noviembre 26 
Lo anterior de acuerdo con el cronograma definido por el DNP.
</t>
  </si>
  <si>
    <r>
      <t>El canal de atención Asesor en línea, inició operación el 01 de febrero de 2016, a través de la prestación del servicio en chat, video llamada, WhatsApp, por medio de los cuales se atiende a los consumidores financieros las 24 horas del día, 7 días a la semana.                                    Se programaron</t>
    </r>
    <r>
      <rPr>
        <b/>
        <sz val="16"/>
        <color indexed="8"/>
        <rFont val="Book Antiqua"/>
        <family val="1"/>
      </rPr>
      <t xml:space="preserve"> 8.040 </t>
    </r>
    <r>
      <rPr>
        <sz val="16"/>
        <color indexed="8"/>
        <rFont val="Book Antiqua"/>
        <family val="1"/>
      </rPr>
      <t xml:space="preserve">horas al año de las cuales se ha realizado </t>
    </r>
    <r>
      <rPr>
        <b/>
        <sz val="16"/>
        <color indexed="8"/>
        <rFont val="Book Antiqua"/>
        <family val="1"/>
      </rPr>
      <t xml:space="preserve"> 1.440. </t>
    </r>
    <r>
      <rPr>
        <sz val="16"/>
        <color indexed="8"/>
        <rFont val="Book Antiqua"/>
        <family val="1"/>
      </rPr>
      <t xml:space="preserve">                                       </t>
    </r>
  </si>
  <si>
    <r>
      <t xml:space="preserve">A 30 de junio de 2016 se ha realizado </t>
    </r>
    <r>
      <rPr>
        <b/>
        <sz val="20"/>
        <color indexed="8"/>
        <rFont val="Book Antiqua"/>
        <family val="1"/>
      </rPr>
      <t>3.624</t>
    </r>
    <r>
      <rPr>
        <sz val="20"/>
        <color indexed="8"/>
        <rFont val="Book Antiqua"/>
        <family val="1"/>
      </rPr>
      <t xml:space="preserve"> horas de atención Online de las  7.920 programadas de febrero a diciembre de 2016. 
</t>
    </r>
  </si>
  <si>
    <r>
      <t xml:space="preserve">Durante el primer semestre de 2016 la entidad cumplió al 100% con las </t>
    </r>
    <r>
      <rPr>
        <b/>
        <sz val="18"/>
        <color indexed="8"/>
        <rFont val="Book Antiqua"/>
        <family val="1"/>
      </rPr>
      <t>48</t>
    </r>
    <r>
      <rPr>
        <sz val="18"/>
        <color indexed="8"/>
        <rFont val="Book Antiqua"/>
        <family val="1"/>
      </rPr>
      <t xml:space="preserve"> horas de atención programadas para la atención a la ciudadanía a través de una Sala de Chat virtual.  
</t>
    </r>
  </si>
  <si>
    <t xml:space="preserve">A corte del 30 de septiembre de 2016 se ha realizado 5.784 horas de atención Online de las 7.920 programadas de febrero a diciembre de 2016. 
</t>
  </si>
  <si>
    <t xml:space="preserve">Hasta el tercer semestre de 2016 la entidad cumplió al 100% con las 72 horas de atención programadas para la atención a la ciudadanía a través de una Sala de Chat virtual.  
</t>
  </si>
  <si>
    <r>
      <t xml:space="preserve">Se programaron en la vigencia 2016 un total de  </t>
    </r>
    <r>
      <rPr>
        <b/>
        <sz val="18"/>
        <color indexed="8"/>
        <rFont val="Book Antiqua"/>
        <family val="1"/>
      </rPr>
      <t xml:space="preserve">885  </t>
    </r>
    <r>
      <rPr>
        <sz val="18"/>
        <color indexed="8"/>
        <rFont val="Book Antiqua"/>
        <family val="1"/>
      </rPr>
      <t xml:space="preserve">horas de CHAT para atención Virtual,   en el primer trimestre,  se realizaron   </t>
    </r>
    <r>
      <rPr>
        <b/>
        <sz val="18"/>
        <color indexed="8"/>
        <rFont val="Book Antiqua"/>
        <family val="1"/>
      </rPr>
      <t xml:space="preserve">212,4 </t>
    </r>
    <r>
      <rPr>
        <sz val="18"/>
        <color indexed="8"/>
        <rFont val="Book Antiqua"/>
        <family val="1"/>
      </rPr>
      <t xml:space="preserve"> horas de CHAT,  aún teniendo inconvenientes ajenos a la operación (paros, incendio de cerros de Bogotá  y semana santa).                                                                                       </t>
    </r>
  </si>
  <si>
    <r>
      <t xml:space="preserve">En el segundo trimestre,  se realizaron  221 horas de CHAT, para un total de </t>
    </r>
    <r>
      <rPr>
        <b/>
        <sz val="20"/>
        <color indexed="8"/>
        <rFont val="Book Antiqua"/>
        <family val="1"/>
      </rPr>
      <t xml:space="preserve">433 </t>
    </r>
    <r>
      <rPr>
        <sz val="20"/>
        <color indexed="8"/>
        <rFont val="Book Antiqua"/>
        <family val="1"/>
      </rPr>
      <t xml:space="preserve">horas de Chat con corte a 30 de Junio de 2016,  de las 885 horas programadas, no se presentaron inconvenientes en la operación para este trimestre.  
</t>
    </r>
  </si>
  <si>
    <r>
      <t xml:space="preserve">En el Tercer trimestre,  se realizaron 247  horas de CHAT, para un total de </t>
    </r>
    <r>
      <rPr>
        <b/>
        <sz val="20"/>
        <color indexed="8"/>
        <rFont val="Book Antiqua"/>
        <family val="1"/>
      </rPr>
      <t xml:space="preserve">680 </t>
    </r>
    <r>
      <rPr>
        <sz val="20"/>
        <color indexed="8"/>
        <rFont val="Book Antiqua"/>
        <family val="1"/>
      </rPr>
      <t xml:space="preserve">horas de Chat con corte a 30 de Septiembre de 2016,  de las 885 horas programadas, no se presentaron inconvenientes en la operación para este trimestre.  
</t>
    </r>
  </si>
  <si>
    <t xml:space="preserve">Se participó en 3 mesas de trabajo con el FNA  y la CRA donde se hicieron revisiones por cada una de las entidades y ajuste al protocolo actual acorde a los lineamientos del DNP.  A la fecha se encuentra en diagramación por parte del área de comunicaciones del FNA.
</t>
  </si>
  <si>
    <t xml:space="preserve">Se realizó la actualización del manual del protocolo para la atención al ciudadano por las entidades del sector. El 29 de septiembre se envió a diseño, una vez se apruebe el diseño por las entidades se realizara la publicación y divulgación.
</t>
  </si>
  <si>
    <t xml:space="preserve">Se realizó reunión de la mesa de trabajo el 22 de septiembre de 2016 donde se revisó la última versión de la actualización del protocolo de atención al ciudadano sectorial, el FNA envio esta última versión a mercadeo el 29 de septiembre, se espera tener el protocolo definitivo publicado en la pagina web en octubre.
</t>
  </si>
  <si>
    <t xml:space="preserve">Se establecio comunicación con el FNA y CRA para iniciar reuniones y avanzar en la actualización y publicación del protocolo de  atención al ciudadano a nivel de las entidades del Sector.                                                                               </t>
  </si>
  <si>
    <t xml:space="preserve">Se realizó reunión mesa de trabajo donde se establecieron los lineamientos para la actualización del protocolo de atención al ciudadano sectorial.
Se determino cuales son las modificaciones que se deberán realizar en comparación con la guía de elaboración de protocolos de atención al ciudadano, elaborada por el programa nacional de servicio al ciudadano del DNP.
</t>
  </si>
  <si>
    <t xml:space="preserve">Se realizó reunión sectorial el 14 de abril de 2016 donde se definieron lineamientos para la actualización del protocolo para la atención.
</t>
  </si>
  <si>
    <t xml:space="preserve">Para el mes de abril, se tiene previsto entre las tres entidades del sector, realizar una primera reunión para revisar el tema y definir las tareas que permitan cumplir con el objetivo planteado.
</t>
  </si>
  <si>
    <t xml:space="preserve">Se realizó reunión de la mesa de trabajo donde se establecieron los lineamientos para la actualización del protocolo de atención al ciudadano sectorial.
Se determinaron las modificaciones que se deberán realizar respecto del protocolo de atención al ciudadano, elaborado por el programa nacional de servicio al ciudadano del DNP.
</t>
  </si>
  <si>
    <r>
      <t xml:space="preserve">Se establecieron algunos criterios para la aplicación  de la encuesta de evaluación de los tramites de la entidad. Para lo cual será tomada como base encuestas elaboradas por la Entidad anteriormente.
</t>
    </r>
    <r>
      <rPr>
        <b/>
        <sz val="18"/>
        <color indexed="8"/>
        <rFont val="Book Antiqua"/>
        <family val="1"/>
      </rPr>
      <t xml:space="preserve">
</t>
    </r>
  </si>
  <si>
    <t xml:space="preserve">1. Continúa a disposición del consumidor financiero de manera permanente la encuesta de satisfacción.
2. Se realiza seguimiento a los resultados de la encuesta de medición, la cual esta automatizada.
protocolo para la atención.
</t>
  </si>
  <si>
    <t xml:space="preserve">La entidad está adelantando la revisión de la propuesta de encuesta que permita evaluar el nivel de satisfación de los usuarios respecto de los trámites y opas de la entidad. 
Se espera para el mes de Octubre validada para iniciar su aplicación
</t>
  </si>
  <si>
    <t xml:space="preserve">la encuesta ya fue elaborada y revisada por fonvivienda, subdireccion de subsidio familiar de vivienda y el grupo de comunicaciones estrategicas, actualmente se encuentra publicada en la pagina web del MVCT, con lo cual se espera que los usuarios la diligencien para obtener  el informe de resultados.
</t>
  </si>
  <si>
    <t xml:space="preserve">La entidad revisó la propuesta de encuesta que permita evaluar el nivel de satisfación de los usuarios respecto de los trámites y opas de la entidad. 
Se espera para el mes de Octubre publicarla en la página web.
</t>
  </si>
  <si>
    <t xml:space="preserve">Se generó la formulación y publicación  de las encuestas virtuales, que se encuentran en el sitio Web del Ministerio 
( PQR, Chat y  Encuesta General).
</t>
  </si>
  <si>
    <t xml:space="preserve">*  El 28 de Enero,  se  realizó reunión con el asesor del DAFP, Doctor Humberto Guapacha, para revisar la metodologia y las acciones de inclusión en el Plan Estratégico de la actual vigencia.   *  El  03 de Febrero de 2016  se  realizó reunión con el asesor del DAFP, Doctor Humberto Guapacha, para  precisar conceptos del Plan de Provisión de  Recursos Humanos y del  Plan Anual de  Vacantes;   se recibe como guia en el diseño del Plan Estrátegico una versión de la Alcaldia de Cali la cual fue asesorada por el DAFP .    Durante los  meses de Febrero y Marzo se avanzo en la elaboración y ajustes del Documento Plan Estratégico de Recursos Humanos.                                                                                          </t>
  </si>
  <si>
    <t xml:space="preserve">Se realizó la elaboración y aprobación del Plan Estratégico de Talento Humano del FNA vigencia 2015-2019. Se encuentra pendiente la publicación e implementación.                                                      </t>
  </si>
  <si>
    <t xml:space="preserve">La entidad se encuentra en el proceso de formulación del documento Plan Estratégico de Recursos Humanos, el cual se estima tenerlo concluida para el mes de junio de 2016.
</t>
  </si>
  <si>
    <r>
      <rPr>
        <sz val="16"/>
        <color indexed="8"/>
        <rFont val="Book Antiqua"/>
        <family val="1"/>
      </rPr>
      <t xml:space="preserve">Durante el segundo semestre se han adelantado las siguientes acciones:
</t>
    </r>
    <r>
      <rPr>
        <b/>
        <sz val="16"/>
        <color indexed="8"/>
        <rFont val="Book Antiqua"/>
        <family val="1"/>
      </rPr>
      <t>1</t>
    </r>
    <r>
      <rPr>
        <sz val="16"/>
        <color indexed="8"/>
        <rFont val="Book Antiqua"/>
        <family val="1"/>
      </rPr>
      <t xml:space="preserve">. Publicación del documento del  Plan Estratégico de Recursos Humanos en la página web del MVCT en el siguiente link: 
http://portal.minvivienda.local/sobre-el-ministerio/talento-humano
</t>
    </r>
    <r>
      <rPr>
        <b/>
        <sz val="16"/>
        <color indexed="8"/>
        <rFont val="Book Antiqua"/>
        <family val="1"/>
      </rPr>
      <t>2</t>
    </r>
    <r>
      <rPr>
        <sz val="16"/>
        <color indexed="8"/>
        <rFont val="Book Antiqua"/>
        <family val="1"/>
      </rPr>
      <t xml:space="preserve">. Desarrollo de las actividades del Plan Institucional de Capacitación-PIC y el Plan de Bienestar Social programadas durante el trimestre y que hacen parte integral del Plan Estratégico de Recursos Humanos.     </t>
    </r>
    <r>
      <rPr>
        <sz val="14"/>
        <color indexed="8"/>
        <rFont val="Book Antiqua"/>
        <family val="1"/>
      </rPr>
      <t xml:space="preserve">
                                                                                                                                                                                                              </t>
    </r>
  </si>
  <si>
    <t xml:space="preserve">La entidad formuló el documento Plan Estratégico de Recursos Humanos y esta pendiente de aprobar por el Comité SIGC. Se presentará para su aprobación en el mes de julio de 2016.
</t>
  </si>
  <si>
    <r>
      <t xml:space="preserve">Durante el tercer semestre se han adelantado las siguientes acciones:
</t>
    </r>
    <r>
      <rPr>
        <b/>
        <sz val="18"/>
        <color indexed="8"/>
        <rFont val="Book Antiqua"/>
        <family val="1"/>
      </rPr>
      <t>1.</t>
    </r>
    <r>
      <rPr>
        <sz val="18"/>
        <color indexed="8"/>
        <rFont val="Book Antiqua"/>
        <family val="1"/>
      </rPr>
      <t xml:space="preserve"> Desarrollo de las actividades del Plan Institucional de Capacitación-PIC que hacen parte integral del Plan Estrtáegico de Recursos Humanos.
</t>
    </r>
    <r>
      <rPr>
        <b/>
        <sz val="18"/>
        <color indexed="8"/>
        <rFont val="Book Antiqua"/>
        <family val="1"/>
      </rPr>
      <t>2.</t>
    </r>
    <r>
      <rPr>
        <sz val="18"/>
        <color indexed="8"/>
        <rFont val="Book Antiqua"/>
        <family val="1"/>
      </rPr>
      <t xml:space="preserve"> Desarrollo de las actividades del Plan de Bienestar Social programadas durante el trimestre y que hacen parte integral del Plan Estratégico de Recursos Humanos.
</t>
    </r>
  </si>
  <si>
    <t xml:space="preserve">A corte del 30 de septiembre de 2016 se encuentra en ejecución el Plan Estrategico de Recursos Humanos.
</t>
  </si>
  <si>
    <t xml:space="preserve">La entidad formuló el documento Plan Estratégico de Recursos Humanos y lo publicó en la Intranet de la Entidad en el link: http://intranet.cra.gov.co/index.php?option=com_content&amp;view=article&amp;id=950:talento&amp;catid=32:noticias&amp;Itemid=320 el 17 de Agosto de 2016
</t>
  </si>
  <si>
    <t xml:space="preserve">El documento se encuentra elaborado, actualizado y será parte integral del Plan Estratégico del GTH para la vigencia 2016.                                                                                                 </t>
  </si>
  <si>
    <r>
      <rPr>
        <sz val="16"/>
        <color indexed="8"/>
        <rFont val="Book Antiqua"/>
        <family val="1"/>
      </rPr>
      <t>Al ser parte integral del Plan Estrategico del GTH este se encuentra publicado en el siguiente link:
 http://portal.minvivienda.local/sobre-el-ministerio/talento-humano</t>
    </r>
    <r>
      <rPr>
        <sz val="14"/>
        <color indexed="8"/>
        <rFont val="Book Antiqua"/>
        <family val="1"/>
      </rPr>
      <t xml:space="preserve">
</t>
    </r>
  </si>
  <si>
    <t xml:space="preserve">La entidad formuló el documento Plan Anual de Vacantes y esta pendiente de aprobar por el Comité SIGC. Se presentará para su aprobación en el mes de julio de 2016.
</t>
  </si>
  <si>
    <t xml:space="preserve">La entidad se encuentra en el proceso de formulación del documento Plan Anual de Empleos Vacantes.
En el primer trimestre la entidad realizo el primer componente que equivale al 25% del total de las actividades previstas para el cumplimiento del requerimiento.
</t>
  </si>
  <si>
    <t xml:space="preserve">La entidad formuló el documento Plan Anual de Vacantes y lo publicó en la Intranet de la Entidad en el link: http://intranet.cra.gov.co/index.php?option=com_content&amp;view=article&amp;id=950:talento&amp;catid=32:noticias&amp;Itemid=320 el 17 de Agosto de 2016
</t>
  </si>
  <si>
    <r>
      <t xml:space="preserve">Durante el primer trimestre se presenta el siguiente avance con el desarrollo de las actividades que a continuación se relacionan:
</t>
    </r>
    <r>
      <rPr>
        <b/>
        <sz val="14"/>
        <color indexed="8"/>
        <rFont val="Book Antiqua"/>
        <family val="1"/>
      </rPr>
      <t>1.</t>
    </r>
    <r>
      <rPr>
        <sz val="14"/>
        <color indexed="8"/>
        <rFont val="Book Antiqua"/>
        <family val="1"/>
      </rPr>
      <t xml:space="preserve"> Identificación de necesidades de capacitación de acuerdo con la metodología de los Proyectos de Aprendizaje en equipo - PAE 
</t>
    </r>
    <r>
      <rPr>
        <b/>
        <sz val="14"/>
        <color indexed="8"/>
        <rFont val="Book Antiqua"/>
        <family val="1"/>
      </rPr>
      <t>2.</t>
    </r>
    <r>
      <rPr>
        <sz val="14"/>
        <color indexed="8"/>
        <rFont val="Book Antiqua"/>
        <family val="1"/>
      </rPr>
      <t xml:space="preserve"> Consolidación del diagnóstico.
</t>
    </r>
    <r>
      <rPr>
        <b/>
        <sz val="14"/>
        <color indexed="8"/>
        <rFont val="Book Antiqua"/>
        <family val="1"/>
      </rPr>
      <t>3.</t>
    </r>
    <r>
      <rPr>
        <sz val="14"/>
        <color indexed="8"/>
        <rFont val="Book Antiqua"/>
        <family val="1"/>
      </rPr>
      <t xml:space="preserve"> Formulación y adopción del  Plan Institucional de capacitación - PIC mediante la Resolución No. 0129 del 3 de Marzo de 2016, los cuales se encuentran publicados en la Intranet en los siguientes links: 
http://nuestranet.minvivienda.local/Talento%20Humano/Plan%20Institucional%20de%20Capacitacion/PIC-2016/Documents/Resolución%20%200129%20%20de%202016.pdf                                                                                                  </t>
    </r>
  </si>
  <si>
    <t xml:space="preserve">Se realizó la elaboración y aprobación del Plan Institucional de Capacitación. Se encuentra pendiente la publicación e implementación.                                                                                </t>
  </si>
  <si>
    <t xml:space="preserve">Con relación a la Formulación, implementación y publicación en la intranet de la entidad del Plan Institucional de Capacitación, la entidad viene cumpliendo con las etapas definidas para su cumplimiento.
</t>
  </si>
  <si>
    <r>
      <t xml:space="preserve">Durante el segundo trimestre se presenta el siguiente avance con el desarrollo de las actividades que a continuación se relacionan:
</t>
    </r>
    <r>
      <rPr>
        <b/>
        <sz val="13"/>
        <color indexed="8"/>
        <rFont val="Book Antiqua"/>
        <family val="1"/>
      </rPr>
      <t>1.</t>
    </r>
    <r>
      <rPr>
        <sz val="13"/>
        <color indexed="8"/>
        <rFont val="Book Antiqua"/>
        <family val="1"/>
      </rPr>
      <t xml:space="preserve">  Se realiza el proceso de contratación y se suscribe el  contrato Interadministrativo No. 434 del 29 de Abril del 2016 con  la Universidad Militar Nueva Granada., quienes serán los resposables de Ejecutar el Plan Institucional de Capacitación – PIC Vigencia 2016 del Ministerio de Vivienda, Ciudad y Territorio a través de la realización de los seminarios, cursos, Diplomado y talleres.
</t>
    </r>
    <r>
      <rPr>
        <b/>
        <sz val="13"/>
        <color indexed="8"/>
        <rFont val="Book Antiqua"/>
        <family val="1"/>
      </rPr>
      <t>2.</t>
    </r>
    <r>
      <rPr>
        <sz val="13"/>
        <color indexed="8"/>
        <rFont val="Book Antiqua"/>
        <family val="1"/>
      </rPr>
      <t xml:space="preserve"> En el marco de dicho contrato se desarrollaron las siguientes capacitaciones: Políticas de Construcción Sostenible para el sector de Vivienda, Ciudad y Territorio, Fiducia Mercantil en los programas del Gobierno Nacional y  en el mes de junio se da inicio al Curso de Inglés, cuya metodología se caracteriza por ser virtual y presencial,  y terminará en el mes de noviembre.
</t>
    </r>
    <r>
      <rPr>
        <b/>
        <sz val="13"/>
        <color indexed="8"/>
        <rFont val="Book Antiqua"/>
        <family val="1"/>
      </rPr>
      <t>3</t>
    </r>
    <r>
      <rPr>
        <sz val="13"/>
        <color indexed="8"/>
        <rFont val="Book Antiqua"/>
        <family val="1"/>
      </rPr>
      <t xml:space="preserve">. De otra parte y en el marco de las disposiciones normativas del Departamento Administrativo de Función Publica - DAFP en el Formulario Único Reporte de Avance de la Gestión – FURAG, se llevan a cabo las sigueintes jornadas de capacitaciones:  Soluciones tecnológicas que se implementan en el Ministerio para cumplir su misión y Gestión Documental y Eficiencia Adminsitrativa. 
</t>
    </r>
    <r>
      <rPr>
        <b/>
        <sz val="13"/>
        <color indexed="8"/>
        <rFont val="Book Antiqua"/>
        <family val="1"/>
      </rPr>
      <t>4</t>
    </r>
    <r>
      <rPr>
        <sz val="13"/>
        <color indexed="8"/>
        <rFont val="Book Antiqua"/>
        <family val="1"/>
      </rPr>
      <t xml:space="preserve">. Respecto a la conmemoración del Servidor público y con expedición por parte del Gobierno Nacional del Decreto No. 2865 del 10 de diciembre de 2013, se organizan dos charlas sobre “La Importancia de Ser Servidor Público", con el apoyo de un Asesor Experto de la Procuraduría General de la Nación.
</t>
    </r>
  </si>
  <si>
    <t xml:space="preserve">A 30 de junio de 2016 se cumple con la formulación, aprobación y publicación del PIC 2016, con una ejecución de 8 programas  de capacitación.
</t>
  </si>
  <si>
    <t xml:space="preserve">La entidad viene cumpliendo con la ejecución del Plan Institucional de Capacitación, conforme al cronograma establecido.
</t>
  </si>
  <si>
    <t xml:space="preserve">A corte del 30 de septiembre de 2016 se encuentra en ejecución el Plan Institucional de Capacitación - PIC.
</t>
  </si>
  <si>
    <r>
      <t xml:space="preserve">Durante el tercer trimestre se presenta el siguiente avance con el desarrollo de las actividades que a continuación se relacionan:
</t>
    </r>
    <r>
      <rPr>
        <b/>
        <sz val="16"/>
        <color indexed="8"/>
        <rFont val="Book Antiqua"/>
        <family val="1"/>
      </rPr>
      <t>1</t>
    </r>
    <r>
      <rPr>
        <sz val="16"/>
        <color indexed="8"/>
        <rFont val="Book Antiqua"/>
        <family val="1"/>
      </rPr>
      <t xml:space="preserve">. Siete (7)jornadas de capacitación de los Formadores Internos del Ministerio en los siguientes temas: ¿Qué margen de ejecución tiene el Plan Nacional de Desarrollo en la coyuntura actual ?, ¿De qué manera nos impactan los Objetivos de Desarrollo Sostenible al año 2030?, ¿Cuáles fueron los principales cambios en las políticas de vivienda?,  ¿La planeación participativa al interior y exterior del Ministerio ayuda a la ejecución de políticas?, ¿Qué relación guardan los Nuevos Marcos Regulatorios de acueducto y aseo con la Administración por Objetivos?,  ¿De qué manera incide el fenómeno del niño y el fenómeno de la niña en la gestión del agua? y Nuevos Aspectos Legales en la Función Publica.
</t>
    </r>
    <r>
      <rPr>
        <b/>
        <sz val="16"/>
        <color indexed="8"/>
        <rFont val="Book Antiqua"/>
        <family val="1"/>
      </rPr>
      <t>2.</t>
    </r>
    <r>
      <rPr>
        <sz val="16"/>
        <color indexed="8"/>
        <rFont val="Book Antiqua"/>
        <family val="1"/>
      </rPr>
      <t xml:space="preserve"> En el marco de las Capacitaciones Individuales (Actualización y profundización en conocimientos propios de la gestión administrativa) participación en el "VI Congreso Nacional de Derecho Administrativo".
</t>
    </r>
    <r>
      <rPr>
        <b/>
        <sz val="16"/>
        <color indexed="8"/>
        <rFont val="Book Antiqua"/>
        <family val="1"/>
      </rPr>
      <t>3</t>
    </r>
    <r>
      <rPr>
        <sz val="16"/>
        <color indexed="8"/>
        <rFont val="Book Antiqua"/>
        <family val="1"/>
      </rPr>
      <t xml:space="preserve">. En el marco del Contrato Interadministrativo No. 434 del de 2016 , se llevan a cabo las siguientes capacitaciones: Curso Formación Integral para la Gestión de los Servidores Públicos, Taller Principios y Valores qie Guian hacia una mejor calidad de vida: Integridad, Etica y Moral en el marco del decreto 2539 y el Diplomado sobre Gerencia de Proyectos de Inversión.
</t>
    </r>
    <r>
      <rPr>
        <b/>
        <sz val="16"/>
        <color indexed="8"/>
        <rFont val="Book Antiqua"/>
        <family val="1"/>
      </rPr>
      <t>4.</t>
    </r>
    <r>
      <rPr>
        <sz val="16"/>
        <color indexed="8"/>
        <rFont val="Book Antiqua"/>
        <family val="1"/>
      </rPr>
      <t xml:space="preserve"> En el marco de las disposiciones normativas del Departamento Administrativo de Función Publica - DAFP en el Formulario Único Reporte de Avance de la Gestión – FURAG, se adelantaron las siguientes jornadas de capacitación:  “Ley de Transparencia", “Servicio al Ciudadano y Lenguaje Claro" y "Derecho de Acceso a la Información Pública".
</t>
    </r>
  </si>
  <si>
    <r>
      <t xml:space="preserve">Durante el primer trimestre se presenta el siguiente avance con el desarrollo de las actividades que a continuación se relacionan:
</t>
    </r>
    <r>
      <rPr>
        <b/>
        <sz val="14"/>
        <color indexed="8"/>
        <rFont val="Book Antiqua"/>
        <family val="1"/>
      </rPr>
      <t>1.</t>
    </r>
    <r>
      <rPr>
        <sz val="14"/>
        <color indexed="8"/>
        <rFont val="Book Antiqua"/>
        <family val="1"/>
      </rPr>
      <t xml:space="preserve"> Diagnóstico de las necesidades de Bienestar mediante las encuestas de detección de necesidades de Bienestar y  consolidación del diagnóstico.
</t>
    </r>
    <r>
      <rPr>
        <b/>
        <sz val="14"/>
        <color indexed="8"/>
        <rFont val="Book Antiqua"/>
        <family val="1"/>
      </rPr>
      <t>2.</t>
    </r>
    <r>
      <rPr>
        <sz val="14"/>
        <color indexed="8"/>
        <rFont val="Book Antiqua"/>
        <family val="1"/>
      </rPr>
      <t xml:space="preserve"> Formulación y adopción del Plan de Bienestar Social e Incentivos mediante Resolución No. 0205 del 31 de marzo del 2016, los cuales se encuentran publicados en la Intarnet en los siguientes links:
http://nuestranet.minvivienda.local/Talento%20Humano/Plan%20de%20Bienestar%20Social/PBS-2016/Documents/Plan%20de%20bienestar%20social%202016%20MVCT.pdf
http://nuestranet.minvivienda.local/Talento%20Humano/Plan%20de%20Bienestar%20Social/PBS-2016/Documents/Resolución%200205%20del%2031%20de%20Marzo%20de%202016.pdf                                                                                                                                                                                       </t>
    </r>
  </si>
  <si>
    <t xml:space="preserve">Se realizó la elaboración , aprobación y publicación del Plan de Bienestar Laboral vigencia 2015.                                                                                                </t>
  </si>
  <si>
    <t xml:space="preserve">Con relación a la Formulación, implementación y publicación en la intranet de la entidad del Programa de Bienestar Social e Incentivos, la entidad viene cumpliendo con el cronograma definido para su cumplimiento.
</t>
  </si>
  <si>
    <r>
      <t xml:space="preserve">Durante el segundo trimestre se presenta el siguiente avance con el desarrollo de las actividades que a continuación se relacionan:
</t>
    </r>
    <r>
      <rPr>
        <b/>
        <sz val="14"/>
        <color indexed="8"/>
        <rFont val="Book Antiqua"/>
        <family val="1"/>
      </rPr>
      <t>1.</t>
    </r>
    <r>
      <rPr>
        <sz val="14"/>
        <color indexed="8"/>
        <rFont val="Book Antiqua"/>
        <family val="1"/>
      </rPr>
      <t xml:space="preserve"> Se realiza el proceso de contratación y se suscribe el  contrato de prestación de servicios de apoyo a la gestión No. 448 del 19 de Mayo del 2016 6 con  la Caja de Compensación Familiar Cafam, quienes serán los resposables de Ejecutar el Plan el Plan de Bienestar Social Vigencia 2016 del Ministerio de Vivienda, Ciudad y Territorio a través de la realización de las diferentes actividades recreativas, deportivas, culturales, promoción y prevención de la salud, incentivos entre otras.
</t>
    </r>
    <r>
      <rPr>
        <b/>
        <sz val="14"/>
        <color indexed="8"/>
        <rFont val="Book Antiqua"/>
        <family val="1"/>
      </rPr>
      <t>2.</t>
    </r>
    <r>
      <rPr>
        <sz val="14"/>
        <color indexed="8"/>
        <rFont val="Book Antiqua"/>
        <family val="1"/>
      </rPr>
      <t xml:space="preserve"> En el marco de dicho contrato se han ejecutado las siguientes actividades: Vacaciones Recreativas mes de Junio y Actividad Recreativa  de Adolescentes.
</t>
    </r>
    <r>
      <rPr>
        <b/>
        <sz val="14"/>
        <color indexed="8"/>
        <rFont val="Book Antiqua"/>
        <family val="1"/>
      </rPr>
      <t>3.</t>
    </r>
    <r>
      <rPr>
        <sz val="14"/>
        <color indexed="8"/>
        <rFont val="Book Antiqua"/>
        <family val="1"/>
      </rPr>
      <t xml:space="preserve"> Por otra parte se desarrollaron otras actividades con el apoyo de nuestros aliados:  Conmemnoración día de la Madre, Conemoración día del Padre, Conmemoración día de las Secretarias, Charla “Construya su Futuro” donde se abordarón temas sobre: Sistema Pensional, Beneficios de aportar en R.P.M y Trámites y procedimientos y Concurso pases dobles para asistir a la obra de teatro Los Cinco Entierros de Pessoa en el Teatro Colón.
</t>
    </r>
    <r>
      <rPr>
        <b/>
        <sz val="14"/>
        <color indexed="8"/>
        <rFont val="Book Antiqua"/>
        <family val="1"/>
      </rPr>
      <t>4.</t>
    </r>
    <r>
      <rPr>
        <sz val="14"/>
        <color indexed="8"/>
        <rFont val="Book Antiqua"/>
        <family val="1"/>
      </rPr>
      <t xml:space="preserve"> Respecto a la conmemoración del Servidor público y con expedición por parte del Gobierno Nacional del Decreto No. 2865 del 10 de diciembre de 2013, nuestra Caja de Compensación Familiar Cafam nos obsequia un detalle.   
</t>
    </r>
  </si>
  <si>
    <t xml:space="preserve">Se realizó la elaboración,  aprobación y publicación del Plan de Bienestar Laboral vigencia 2016. 
</t>
  </si>
  <si>
    <t xml:space="preserve">La CRA ha cumplido con la ejecución del Programa de Bienestar Social e Incentivos, conforme al cronograma establecido.
</t>
  </si>
  <si>
    <r>
      <t xml:space="preserve">
</t>
    </r>
    <r>
      <rPr>
        <sz val="18"/>
        <color indexed="8"/>
        <rFont val="Book Antiqua"/>
        <family val="1"/>
      </rPr>
      <t xml:space="preserve">Durante el tercer trimestre se presenta el siguiente avance con el desarrollo de las actividades que a continuación se relacionan:
</t>
    </r>
    <r>
      <rPr>
        <b/>
        <sz val="18"/>
        <color indexed="8"/>
        <rFont val="Book Antiqua"/>
        <family val="1"/>
      </rPr>
      <t>1.</t>
    </r>
    <r>
      <rPr>
        <sz val="18"/>
        <color indexed="8"/>
        <rFont val="Book Antiqua"/>
        <family val="1"/>
      </rPr>
      <t xml:space="preserve"> En el marco del contrato de prestación de servicios de apoyo a la gestión No. 448 del 19 de Mayo del 2016 se han ejecutado las siguientes actividades: Actividad Recreativa para Adolescentes, Torneo de Fútbol, Torneo de Bolos y Taller para Pre Pensionados "Una Vida con Propósito".
</t>
    </r>
    <r>
      <rPr>
        <b/>
        <sz val="18"/>
        <color indexed="8"/>
        <rFont val="Book Antiqua"/>
        <family val="1"/>
      </rPr>
      <t>2.</t>
    </r>
    <r>
      <rPr>
        <sz val="18"/>
        <color indexed="8"/>
        <rFont val="Book Antiqua"/>
        <family val="1"/>
      </rPr>
      <t xml:space="preserve"> Por otra parte se desarrollaron otras actividades con el apoyo de nuestros aliados:  Conmemnoración día del Conductor, Charla "Construya su Futuro", Clases de Acondicionamiento Yoga, campaña "Conoce los Valores del Ministerio", participación en la Media Maratón de Bogotá, Feria de Vivienda y educación del Fondo Nacional del Ahorro, Semana de la Salud y Concurso "Mi Video es la Paz".</t>
    </r>
    <r>
      <rPr>
        <sz val="16"/>
        <color indexed="8"/>
        <rFont val="Book Antiqua"/>
        <family val="1"/>
      </rPr>
      <t xml:space="preserve">
</t>
    </r>
  </si>
  <si>
    <t xml:space="preserve">A corte del 30 de septiembre de 2016 se encuentra en ejecución el Plan de Bienestar Social.
</t>
  </si>
  <si>
    <t xml:space="preserve">Actualmente, tanto el MVCT como FONVIVIENDA, se encuentran en el proceso de revisión documental y preparación de la auditoría para llevar a cabo la auditoría de recertificación de las dos (2) entidades, la cual esta programada para ejecutarse en el periodo comprendido entre el 5 y 8 de abril del presente año.                                   </t>
  </si>
  <si>
    <t xml:space="preserve">El proceso de recertificación del SGC se estima estar iniciandolo hacia el mes de Noviembre de 2016.
</t>
  </si>
  <si>
    <t xml:space="preserve">Durante el periodo comprendido entre el 5 y 8 de abril del año en curso, tanto el MVCT y FONVIVIENDA, obtuvieron la recertificación del Sistema de Gestión de calidad, tanto para la norma NTC GP1000:2009 y NTC ISO 9001:2008, ésta recertificación fue otorgada por el ente certificador SGS.
</t>
  </si>
  <si>
    <t xml:space="preserve">La Auditoria de Recertificación para el Sistema de Gestión de Calidad del FNA, se realizó en el mes de abril de 2016 y para el 16 de junio fue entregado oficialmente por el ente Certificador ICONTEC, la renovación del certificado en NTCGP 1000:2009.
</t>
  </si>
  <si>
    <t xml:space="preserve">Se definió una línea base para colocar una meta de disminución de impresiones y fotocopias por área del 5% en el 2016 vs 2015.    Se controlará trimestralmente con los reportes generados por parte del proveedor de las fotocopiadoras, por área, el cual al comparar el primer trimestre de 2016 con la base de medición se tiene una disminución del 9% en impresiones y fotocopias.                                                                                                           </t>
  </si>
  <si>
    <t xml:space="preserve">La Meta es reducir un 15% en el Consumo de Resmas de Papel frente al año 2015; a corte del primer semestre de 2016 hemos ahorrado un total de 1012 resmas, la meta es ahorrar en el transcurso del año 2016 un total de 4102; el avance sobre este total es del 24,7%.  
El Ahorro ponderado del primer semestre de 2016 frente al primer trimestre de 2015 es de 18,3%.                                                                                     </t>
  </si>
  <si>
    <t xml:space="preserve">Con relación a Formular e implementar la estrategia para disminuir el consumo de papel, la entidad viene aplicando la política de mantenimiento de los niveles de consumo en la estrategia "Cero papel" aprobada desde el año 2013.
</t>
  </si>
  <si>
    <t xml:space="preserve">Se realizo el ajuste al documento de cero papel con la propuesta del analisis del primer trimestre,  denominado "BASE PARA LA DISMINUCIÓN DE IMPRESIONES Y FOTOCOPIAS POR AREA EN EL 2016 DISMINUCIÓN ESPERADA PARA EL 2016", el cual fue modificado conforme al que se entrego el año pasado como estrategia de Cero Papel de diciembre de 2015.
http://www.minvivienda.gov.co/Documents/EstrategiaCeroPapel2016.pdf  
</t>
  </si>
  <si>
    <t xml:space="preserve">El consumo total en el año 2015 fue de 27.345 resmas, la meta de consumo para este año se proyecta en 25.978 resmas, con una reducción de 1.367 que corresponde al 5% del consumo anual.
A la fecha no se ha presentado disminución en el consumo de papel por cuanto se ha dado la apertura de nuevos Puntos de Atención - PAC, kioscos agilizadores de trámites en los PAC, ha aumentado la fuerza comercial y se ha creado nuevos Centros de Costo y grupos de trabajo.
La División Administrativa trabajará en coordinación con el Grupo de Responsabilidad Social en la estrategia para dar cumplimiento a las Políticas de Cero Parel establecidas por el Gobierno Nacional.
</t>
  </si>
  <si>
    <t xml:space="preserve">La entidad viene aplicando la política de mantenimiento de los niveles de consumo en la estrategia "Cero papel" aprobada desde el año 2013.
</t>
  </si>
  <si>
    <t xml:space="preserve">Se generó documento de la estrategia de cero papel y se están enviando los reportes trimestrales de consumo de papel por cada una de las áreas del Ministerio.
</t>
  </si>
  <si>
    <t xml:space="preserve">Teniendo en cuenta la apertura de nuevos puntos de atención y la creación de grupos internos de trabajo en la Entidad, el FNA no podrá realizar el ahorro en consumo de papel del 5% frente al consumo del año 2015.  No obstante el FNA implementará un programa de compensación de la siguiente manera:
Se compensará un 17% de este gasto por medio de la siembra de 300 árboles los cuales serán sembrados y mantenidos por la Fundación Natura, con el fin de asegurar el adecuado crecimiento.
Adicionalmente, se tiene programada otra  compensación para el año 2017, por medio de 360 árboles,  debido al crecimiento del FNA durante el 2016.
Como parte de la implementación del Sistema de Gestión Ambiental, el FNA cuenta con un Comité de Coordinacion Ambiental y se creó e implementó la Politica Ambiental del FNA, la cual incluye el compromiso respecto al ahorro de papel; sus componentes están siendo divulgados con el equipo de Comunicación.
</t>
  </si>
  <si>
    <t xml:space="preserve">Para la vigencia 2016 se  realizo reunión y mesa de trabajo el  día 07 de Marzo, con las dependencias de Subdirección de subsidios, Planeación, Jurídica y TICS, en la que se genero y acordó el plan de trabajo relacionado con el tema en mención.                                                                          </t>
  </si>
  <si>
    <t xml:space="preserve">Con relación al componente de Racionalización en la entidad se seleccionó el de Pago de Contribuciones para reportar en el indicador sectorial.
</t>
  </si>
  <si>
    <t xml:space="preserve">A 30 de junio del año 2016 se cuenta con la aprobación del Formato Único de Afiliación.
Se implemento la legalizadora interna, se revisaron los flujos de legalización para Tramite de Credito Hipotecario por Cesantias y AVC de acuerdo con la modalidad de Crédito Compra Vivienda Nueva, Crédito Compra Vivienda Usada, Compra de Cartera, Leasing Habitacional, Crédito para Mejora de Vivienda y Crédito para Construcción. Lo anterior ha permitido mejorar en tiempos y reducción de documentos.
</t>
  </si>
  <si>
    <t xml:space="preserve">Para el segundo trimestre de 2016 se  realizó reunión con la empresa PMB (proveedor de GES DOC) el  día 16 de Junio, está pendiente de una propuesta formal por parte de la empresa,  para lograr expedir el "Certificado para el retiro de los recursos depositados en la cuenta de ahorro programado para VIS"  en linea por parte de los interesados.
</t>
  </si>
  <si>
    <t xml:space="preserve">A junio de 2016 la entidad viene adelantando la fase de análisis y definición de requerimientos para el cambio.
</t>
  </si>
  <si>
    <t xml:space="preserve">La Oficina de TIC elaboró los estudios previos para la contratación de la automatización del servicio de movilizaciones, y la DIVIS se encuentra en los trámites precontractuales del proceso. 
Es importante tener en cuenta que de acuerdo a la propuesta presentada por el proveedor se espera que luego de su contratación, en un mes se tenga racionalizado el trámite.
</t>
  </si>
  <si>
    <t xml:space="preserve">A corte del 30 de septiembre de 2016 el trámite de legaliación se realiza a traves de La Implementación de la Legalizadora Interna, mejorando la prestacion del servicio al ciudadano.
</t>
  </si>
  <si>
    <t xml:space="preserve">A septiembre de 2016 la entidad adelantó la fase de análisis y definió la implantación del pago mediante PSE, para el pago de Contribuciones, el cual quedará implementado en Octubre de 2016.
</t>
  </si>
  <si>
    <r>
      <t xml:space="preserve">Se están realizando ajustes a las temáticas del plan de manejo del RAEE, para ctualizar el documento.  Adiconalmente se vienen realizando actividades  de recuperación, separación y almacenamiento del RAEE.                                                                                </t>
    </r>
    <r>
      <rPr>
        <sz val="18"/>
        <color indexed="8"/>
        <rFont val="Book Antiqua"/>
        <family val="1"/>
      </rPr>
      <t xml:space="preserve">
</t>
    </r>
  </si>
  <si>
    <r>
      <t xml:space="preserve">Se revisó el plan de manejo de RAEE acorde con la normatividad vigente.                                                              </t>
    </r>
    <r>
      <rPr>
        <sz val="16"/>
        <color indexed="8"/>
        <rFont val="Book Antiqua"/>
        <family val="1"/>
      </rPr>
      <t xml:space="preserve">
</t>
    </r>
  </si>
  <si>
    <t xml:space="preserve">La entidad viene efectuando una revisón de la normatividad vigente para la construcción del RAEE de la CRA. 
</t>
  </si>
  <si>
    <r>
      <rPr>
        <sz val="15"/>
        <color indexed="8"/>
        <rFont val="Book Antiqua"/>
        <family val="1"/>
      </rPr>
      <t xml:space="preserve">Una vez revisado el documento en su contenido se definio que este se encuentra actualizado en cuanto a la informacion, normativa relacionada y alternativas de accion frente al manejo RAEE establecidas al interior del Ministerio.
Adiconalmente, durante el ultimo trimestre se continuo con la realizacion periodica de las  actividades  de identificacion, recuperación, recoleccion, seleccion y almacenamiento  interno del RAEE generado al interior del Minsiterio, acorde con los lineamientos definidos en el DOCUMENTO DE BUENAS PRÁCTICAS PARA EL MANEJO DE LOS RESIDUOS DE APARATOS ELÉCTRICOS Y ELECTRÓNICOS RAEE, PARA EL MINISTERIO DE VIVIENDA, CIUDAD Y TERRITORIO, publicado en la intranet en el link:
http://nuestranet.minvivienda.local/Dependencias/SecretariaGeneral/SubdireccionServiciosAdministrativos/GrupoRecursosFisicos/Documents/Documento%20de%20buenas%20prácticas%20para%20el%20manejo%20de%20los%20residuos%20de%20aparatos%20eléctricos%20y%20electrónicos%20RAEE,%20para%20el%20MVCT.pdf 
   </t>
    </r>
    <r>
      <rPr>
        <sz val="14"/>
        <color indexed="8"/>
        <rFont val="Book Antiqua"/>
        <family val="1"/>
      </rPr>
      <t xml:space="preserve">
</t>
    </r>
  </si>
  <si>
    <t xml:space="preserve">Se actualizó y socializó con la División Administrativa y el equipo de Comunicaciones del FNA, el documento de buenas prácticas  para el manejo de RAEE, siguiendo los lineamientos de la estrategia de Gobierno en Línea -GEL.
Se adecuó un container para el almacenamiento de RAEE.
Se firmo un convenio con la Fundación del Quemado para la disposición final de los residuos.
</t>
  </si>
  <si>
    <t xml:space="preserve">El día 10 de mayo de 2016 se entregó a la Jefe de la OAP y TICs el documento RAEE para revisión y aprobación. 
</t>
  </si>
  <si>
    <t xml:space="preserve">El documemto se reviso nuevamente por parte del Comité de Manejo RAEE, y se definio  la realizacion de modificaciones en torno a el registro fotografico, imágenes y tablas contenidas. 
Una vez realizadas las modificaciones acordadas, se envio el documento al Grupo de Talento Humano para ajustar la informacion relacionada con medidas de seguridad para el manejo del RAEE, de manera que esta informacion sea acorde con las disposiciones establecidas en el Sistema de Gestion de la Seguridad y Salud en el Trabajo SG-SST.
como complemento a la actualizacion del documento, durante el ultimo trimestre se continuo con la realizacion periodica de las  actividades operativas  de identificacion, recuperación, recoleccion, seleccion y almacenamiento  interno del RAEE generado al interior del Minsiterio, acorde con los lineamientos definidos 
</t>
  </si>
  <si>
    <t xml:space="preserve">Como parte de la implementación del Sistema de Gestión Ambiental, el FNA ahora cuenta con un Comité de Coordinación Ambiental y se creó e implementó la Política Ambiental del FNA. Ésta incluye el compromiso respecto al manejo de Residuos del FNA. 
El FNA ya cuenta con un procedimiento para el Manejo de Residuos Sólidos, aprobado por el Comité de Coordinación Ambiental. Éste, incluye  el Plan de Manejo de RAEE y el Plan de Gestión Integral de Residuos Peligrosos (ResPel). 
Como parte del plan, se realizó la señalización respecto a la clasificación de los diferentes tipos de residuos para su debido almacenamiento y posterior disposición final.
</t>
  </si>
  <si>
    <t xml:space="preserve">Documento aprobado en Comité SIGC # 9 del 22 de septiembre de 2016
</t>
  </si>
  <si>
    <t xml:space="preserve">Se está realizando un diagnostico de marco de referencia de arquitectura empresrialde TI para ajustar el PETIC institucional.                                                                                                            </t>
  </si>
  <si>
    <t xml:space="preserve">El FNA definió el PETIC 2015 - 2019 en la vigencia 2015, el cual fue aprobado por la Junta Directiva.
El FNA cuenta un Datacenter Principal y también cuenta con un Centro Alterno de Procesamiento en la ciudad de Medellín, acorde con los lineamientos establecidos para el FNA por la Superintendencia Financiera de Colombia.                                                                               </t>
  </si>
  <si>
    <t xml:space="preserve">La entidad en el primer trimestre realizó el diagnóstico necesario para la construcción del PETIC.
</t>
  </si>
  <si>
    <r>
      <t xml:space="preserve">En el segundo Trimestre, se solicito propuesta con el fin de:
Realizar el diagnóstico, definición y diseño de la arquitectura empresarial en el Ministerio de Vivienda Ciudad y Territorio para los procesos:
Gestión de tecnologías de información, de conformidad con los lineamientos establecidos en el Decreto 2573 de 2014 y el Marco de Referencia de Arquitectura Empresarial para la gestión de Tecnologías de la Información de MinTIC.
</t>
    </r>
    <r>
      <rPr>
        <sz val="18"/>
        <color indexed="8"/>
        <rFont val="Book Antiqua"/>
        <family val="1"/>
      </rPr>
      <t xml:space="preserve">
</t>
    </r>
  </si>
  <si>
    <t xml:space="preserve">Al 30 de junio del año 2016, el PETIC cuenta con un avance de ejecución de 68% teniendo en cuenta los proyectos programados para la vigencia 2016.
</t>
  </si>
  <si>
    <t xml:space="preserve">Durante el primer semestre la entidad realizó el diagnóstico de la situación actual y se ha iniciado con la priorizaciòn y desarrollo de los proyectos que le permitan a la Entidad cumplir con lo exigido por GEL
</t>
  </si>
  <si>
    <t xml:space="preserve">Se actualizó el mapa de ruta de los proyectos del PETIC 2016-2018; se han venido desarrollando mejoras a GesDoc y a los Procesos Misionales automatizados, igualmente se está automatizando el proceso de Control Interno, de acuerdo con los recursos disponibles para el 2016.
</t>
  </si>
  <si>
    <t xml:space="preserve">A 30 de septiembre del año 2016, el PETIC cuenta con un avance de ejecución de 79% teniendo en cuenta los proyectos programados para la vigencia 2016.
</t>
  </si>
  <si>
    <t xml:space="preserve">Se realizó el 100% del diagnóstico de la situación actual de la entidad (PETI CRA Parte I.pdf y PETI CRA - Resumen Ejecutivo.pdf). Se inició con el desarrollo del escenario deseado (To-BE) en materia de gestión de servicios de TI - ITSM en articulación con la misión, visión y objetivos estratégicos recientemente actualizados.
</t>
  </si>
  <si>
    <t xml:space="preserve">No se tienen avances conforme a las metas previstas, pues a la fecha se debe evaluar la contratación de una consultoria externa.                                                                                  </t>
  </si>
  <si>
    <t xml:space="preserve">Actualmente el FNA tiene un contrato vigente para apoyar la implementacion del SGSI, se muestra el % de avance del contrato.                                                                                       </t>
  </si>
  <si>
    <t xml:space="preserve">Durante el primer trimestre la entidad cumplio con el 100% de la formulación acorde a los lineamientos del GEL.
</t>
  </si>
  <si>
    <t xml:space="preserve">Para el segundo semestre se desarrollarán las actividades de implementación para el SGSI a fin de cumplir con el compromiso planteado por la entidad.     
</t>
  </si>
  <si>
    <t xml:space="preserve">El FNA definió la metodología de análisis de riesgos.
Se realizó los  análisis de riesgos a 10 proceso acorde con la metodología establecida, donde se tienen en cuenta los lineamientos de Seguridad y Privacidad de la Información.
Se realizó el documento con análisis de contexto y análisis GAP  teniendo en cuenta la norma ISO 27001 -2013.
</t>
  </si>
  <si>
    <t xml:space="preserve">No se tienen avances conforme a las metas previstas.
</t>
  </si>
  <si>
    <t xml:space="preserve">Sigue pendiente el proceso de contratación de una consultoría para desarrollar el SGSI junto a la Arquitectura Empresarial para del Ministerio.
</t>
  </si>
  <si>
    <t xml:space="preserve">A corte de 30 de septiembre de 2016, el FNA cumple con el Modelo de Seguridad y Privacidad de la Información de acuerdo a los lineamientos GEL.
</t>
  </si>
  <si>
    <r>
      <t xml:space="preserve">Para el cuarto trimestre se desarrollarán las actividades de implementación y socialización para el SGSI a fin de cumplir con el compromiso planteado por la entidad.     
</t>
    </r>
    <r>
      <rPr>
        <sz val="18"/>
        <color indexed="8"/>
        <rFont val="Book Antiqua"/>
        <family val="1"/>
      </rPr>
      <t xml:space="preserve">
</t>
    </r>
  </si>
  <si>
    <t xml:space="preserve">Se elaboró el  Programa de Gestión Documental,  la implementación, seguimiento y control, está en proceso de ejecución para los siguientes trimestres.                                                                                                                                              </t>
  </si>
  <si>
    <t xml:space="preserve">La entidad viene adelantando el proceso de contratación de un experto en el tema con el fin de cumplir con este objetivo.
</t>
  </si>
  <si>
    <t xml:space="preserve">La implementación, seguimiento y control, está en proceso de ejecución para los siguientes trimestres.                                                                                                                                              </t>
  </si>
  <si>
    <t xml:space="preserve">Se pospone la contratación para la elaboración de los instrumentos archivísticos para el año 2017. Sin embargo, se elaboraron las tablas de retención documental las cuales fueron enviadas al Archivo General de la Nación el 04/05/2016 para aprobación y firma.
Por otra parte, se realizó la actualización de todos los documentos internos de apoyo del proceso: procedimientos, instructivos y formatos.
</t>
  </si>
  <si>
    <t xml:space="preserve">La CRA desarrollo el proceso de contratación de una empresa Consultora a través de la cual se podrá cumplir con el componente de elaboración del PGD. Una vez se concluya con esta actividad se iniciará la implementación.
</t>
  </si>
  <si>
    <t xml:space="preserve">La implementación, del programa de Gestión Documental se viene desarrollando en lo relativo a la organización del archivo inactivo y en las actividades relacionadas con la adecuación de la infraestructura física del depósito de la Fragua.
</t>
  </si>
  <si>
    <t xml:space="preserve">Para el tercer trimestre, se encuentra integrado al presupuesto del 2017, la elaboración de los instrumentos archivísticos tales como: Plan de Gestión Documental, PINAR e Inventario en estado natural de documentación inactiva.
En el mes de octubre se presentará al Archivo General de la Nación los ajustes indicados por los mismos en cuanto a las Tablas de Retención Documental.
</t>
  </si>
  <si>
    <r>
      <t xml:space="preserve">Se consolidaron las justificaciones enviadas por las dependencias argumentando las necesidades presupuestales del 2016 y se elaboró el documento de justificación que se envió al Ministerio de Hacienda y Crédito público y al DNP.
Se registró en el sistema siif el anteproyecto de presupuesto del ministerio y de fonvivienda y se envió con la documentación respectiva a Minhacienda, conforme a lo establecido en la circular externa no 5.                                                                                              </t>
    </r>
  </si>
  <si>
    <t xml:space="preserve">Con relación a la Formulación y presentación del Anteproyecto de presupuesto 2017, la entidad cumplio en el tiempo establecido al 100% con  la obligación de presentarlo.
</t>
  </si>
  <si>
    <r>
      <t xml:space="preserve">Se consolidaron las justificaciones enviadas por las dependencias argumentando las necesidades presupuestales del 2016 y se elaboró el documento de justificación que se envió al Ministerio de Hacienda y Crédito público y al DNP.
Se registró en el sistema siif el anteproyecto de presupuesto del ministerio y de fonvivienda y se envió con la documentación respectiva a Minhacienda, conforme a lo establecido en la circular externa no 5. 
                                                                                                              </t>
    </r>
    <r>
      <rPr>
        <sz val="17"/>
        <color indexed="8"/>
        <rFont val="Book Antiqua"/>
        <family val="1"/>
      </rPr>
      <t xml:space="preserve">
</t>
    </r>
  </si>
  <si>
    <t xml:space="preserve">El anteproyecto de presupuesto iniciará entre los meses de Julio y Agosto con la respectiva solicitud de información a las áreas, con el fin de elaborar y aprobar el presupuesto de la vigencia 2017.
</t>
  </si>
  <si>
    <t xml:space="preserve">De acuerdo  a la cuota sectorial asignada, se hizo el registro del anteproyecto de presupuesto del Ministerio y de FONVIVIENDA en el SUIFP.
De igual manera en el mes de septiembre se hizo la primera solicitud de la carta al anteproyecto de presupuesto, para que el Gobierno Nacional, lo pusiera a consideracion del Congreso Nacional.
</t>
  </si>
  <si>
    <t xml:space="preserve">Se envío a las areas el memorando de solicitud de información de necesidades de recursos para el año 2017 y se realizó capacitación en manejo de formularios.
</t>
  </si>
  <si>
    <r>
      <t xml:space="preserve">Se han realizado Tres (3) Informes de Ejecución presupuestal del ministerio y del sector, que pertenecen a los meses de Enero, Febrero y Marzo.                                                                                       </t>
    </r>
  </si>
  <si>
    <r>
      <t xml:space="preserve">La fecha de cierre del mes de marzo es el 10 de abril, De acuerdo con las estimaciones de trasmisión del Balance General del FNA.                                                                         </t>
    </r>
  </si>
  <si>
    <t xml:space="preserve">Con relación a la presentación de informes mensual de seguimiento de Ejecución Presupuestal, la entidad cumplio en el tiempo establecido al 100% con  la obligación.
</t>
  </si>
  <si>
    <t xml:space="preserve">El FNA cuenta con los seis (6) informes de ejecución presupuestal del primer y segundo trimestre del año 2016.
</t>
  </si>
  <si>
    <t xml:space="preserve">La entidad cumplió con la presentación de los informes mensuales de seguimiento de Ejecución Presupuestal, la entidad cumplio en el tiempo establecido al 100% con  la obligación.
</t>
  </si>
  <si>
    <r>
      <t xml:space="preserve">Se han realizado Seis (6) Informes de Ejecución presupuestal del ministerio y del sector, que pertenecen a los meses de Enero, Febrero, Marzo, Abril, Mayo y Junio.   
                                                                                                           </t>
    </r>
    <r>
      <rPr>
        <sz val="18"/>
        <color indexed="8"/>
        <rFont val="Book Antiqua"/>
        <family val="1"/>
      </rPr>
      <t xml:space="preserve">
</t>
    </r>
  </si>
  <si>
    <t xml:space="preserve">El FNA cuenta con los tres (9) informes de ejecución presupuestal del primer al tercer trimestre del año 2016.
</t>
  </si>
  <si>
    <t xml:space="preserve">El Ministerio de Vivienda para el segundo trimestre cumplió con el pago de sus respectivas obligaciones de acuerdo a los soportes presentados en la Subdireccion de Finanzas y Presupuesto, tanto para el Ministerio de Vivienda, Ciudad y Territorio como para el Fondo Nacional de Vivienda – FONVIVIENDA.
De otra parte se dio cumplimiento al pago del SGP, que se encontraba pendiente en el primer trimestre.
</t>
  </si>
  <si>
    <t xml:space="preserve">En relación con la ejecución del PAC ejecutado, la entidad cumplio en el tiempo establecido al 100% con  la obligación.
</t>
  </si>
  <si>
    <r>
      <t xml:space="preserve">Debido a que se asignaron recursos para el Ministerio correspondientes al Sistema General de Participaciones de una manera tardía, presentandose demora en la asignación presupuestal de estos recursos, lo cual complicó la realización de los pagos por este concepto;   de igual forma,  para el Fondo Nacional de Vivienda se asignaron recursos para el FRECH y se presentaron problemas en los valores correspondientes a cada vigencia. Los demás pagos han sido efectuados con puntualidad y de manera correcta.                                                                                                     </t>
    </r>
    <r>
      <rPr>
        <sz val="16"/>
        <color indexed="8"/>
        <rFont val="Book Antiqua"/>
        <family val="1"/>
      </rPr>
      <t xml:space="preserve">
</t>
    </r>
  </si>
  <si>
    <t xml:space="preserve">Se elaboró el segundo informe trimestral con corte al 30 de junio, con la información generada en el aplicativo SPI con base en el reporte de los indicadores de producto.   
</t>
  </si>
  <si>
    <t xml:space="preserve">A 30 de junio de 2016 la entidad cumplió con la metas de PAC proyectadas para la vigencia.
</t>
  </si>
  <si>
    <t xml:space="preserve">El Ministerio de Vivienda para el tercer trimestre cumplió con el pago de sus respectivas obligaciones de acuerdo a los soportes presentados en la Subdireccion de Finanzas y Presupuesto, tanto para el Ministerio de Vivienda, Ciudad y Territorio como para el Fondo Nacional de Vivienda – FONVIVIENDA.
</t>
  </si>
  <si>
    <t xml:space="preserve">A 30 de septiembre de 2016 la entidad cumplió con la metas de PAC proyectadas para la vigencia.
</t>
  </si>
  <si>
    <t xml:space="preserve">Se realizó el primer informe trimestral de la vigencia 2016, donde se reportó el avance de los indicadores de producto de todos los proyectos de inversión.                                                                        </t>
  </si>
  <si>
    <t xml:space="preserve">Con relación a la presentación de informes trimestrales de seguimiento del avance físico del producto de la entidad (SPI), la entidad cumplio en el tiempo establecido al 100% con  la obligación.
</t>
  </si>
  <si>
    <t xml:space="preserve">La entidad cumplió en tiempo a 30 de junio con el informe de SPI (reporte de información) que permite conocer el avance físico de los proyectos
</t>
  </si>
  <si>
    <t xml:space="preserve">Se realizó el primer informe trimestral de la vigencia 2016, donde se reportó el avance de los indicadores de gestión de todos los proyectos de inversión.                                                                            </t>
  </si>
  <si>
    <t xml:space="preserve">Con relación a la presentación de informes trimestrales de seguimiento del avance de gestión del producto de la entidad (SPI), la entidad cumplio en el tiempo establecido al 100% con  la obligación.
</t>
  </si>
  <si>
    <t xml:space="preserve">Se elaboró el segundo informe trimestral con corte al 30 de junio, con la información generada en el aplicativo SPI con base en el reporte de los indicadores de gestión.   
</t>
  </si>
  <si>
    <t xml:space="preserve">Durante el trimestre la CRA ha venido cumpliendo con la presentación de informes de seguimiento del avance de gestión del producto de la entidad (SPI).
</t>
  </si>
  <si>
    <t xml:space="preserve">Se elaboró el tercer informe trimestral con corte al 30 de Septiembre, con la información generada en el aplicativo SPI con base en el reporte de los indicadores de gestión.   
</t>
  </si>
  <si>
    <t xml:space="preserve">Se Formuló el Plan Anual de Adquisiciones, de acuerdo a los linemientos de Colombia compra eficiente, se debe actualizar en el mes de Julio según normatividad vigente.                                                                                                                   </t>
  </si>
  <si>
    <t xml:space="preserve">El FNA, Publica en el portal institucional del Fondo el plan anual de adquisiones (2 veces al año: en Enero y en Julio) ver link:  http://www.fna.gov.co/wps/wcm/connect/99ba353e-6088-4ee6-9e6b-0775c8677152/PLAN+ANUAL+DE+ADQUISICIONES++VIGENCIA+2016..pdf?MOD=AJPERES                                                                              </t>
  </si>
  <si>
    <r>
      <t xml:space="preserve">Con relación a la Formulación y actualización del Plan Anual de Adquisiciones de acuerdo a los lineamientos de Colombia compra eficiente. La entidad cumplio en el tiempo establecido al 50% con  la obligación, ya que se publicó dentro del tiempo establecido (hasta el 31 de enero de cada año), pero no se han presentado actualizaciones, las cuales según la norma establecida en el Decreto 1510 de 2013, compilado en el Decreto 1082 de 2015 dice </t>
    </r>
    <r>
      <rPr>
        <i/>
        <sz val="16"/>
        <color indexed="8"/>
        <rFont val="Book Antiqua"/>
        <family val="1"/>
      </rPr>
      <t>" La Entidad Estatal debe actualizar el Plan Anual de Adquisiciones por lo menos una vez durante su vigencia en el mes de Julio"</t>
    </r>
    <r>
      <rPr>
        <sz val="16"/>
        <color indexed="8"/>
        <rFont val="Book Antiqua"/>
        <family val="1"/>
      </rPr>
      <t xml:space="preserve"> 
</t>
    </r>
  </si>
  <si>
    <t xml:space="preserve">Se  continua con la recoleccion de informacion para la actualizacion que debe ser presentada el 31 de Julio de 2016.
</t>
  </si>
  <si>
    <t xml:space="preserve">Se actualizó el Plan Anual de Adquisiciones y se remitió a las áreas correspondientes para la respectiva aprobación.
Se realizó la publicación en la página web de la entidad.
</t>
  </si>
  <si>
    <t xml:space="preserve">El día 15 de mayo de 2016 se efectuó la actualización del Plan Anual de Adquisiciones, el cual se encuentra publicado en la página del SECOP y la página web de la entidad, cumpliendo de esta forma con el Decreto 1510 de 2013, Art 6 y 7 del Capítulo IV.  
</t>
  </si>
  <si>
    <t xml:space="preserve">El Plan de Adquisiciones se formulo y se actualizó, según la normatividad vigente.
</t>
  </si>
  <si>
    <t xml:space="preserve">El día 15 de mayo de 2016 se efectuó la actualización del Plan Anual de Adquisiciones, el cual se encuentra publicado en la página del SECOP y la página web de la entidad, cumpliendo de esta forma con el Decreto 1510 de 2013, Art 6 y 7 del Capítulo IV.  
El día 19 de septiembre de 2016, se publicó la segunda actualización del Plan Anual de Adquisiciones, el cual se encuentra publicado en la página del SECOP y la página web de la entidad.
</t>
  </si>
  <si>
    <r>
      <t xml:space="preserve">Al ser parte integral del Plan Estrategico del GTH este se encuentra publicado en el siguiente link:
 http://portal.minvivienda.local/sobre-el-ministerio/talento-humano
</t>
    </r>
    <r>
      <rPr>
        <b/>
        <sz val="16"/>
        <color indexed="8"/>
        <rFont val="Book Antiqua"/>
        <family val="1"/>
      </rPr>
      <t>Con corte al 31 de Diciembre de 2016 el avance es de el 5% de la participación porcentual en la política</t>
    </r>
    <r>
      <rPr>
        <sz val="16"/>
        <color indexed="8"/>
        <rFont val="Book Antiqua"/>
        <family val="1"/>
      </rPr>
      <t xml:space="preserve">
</t>
    </r>
  </si>
  <si>
    <t>La actividad se cumplió en el segundo trimestre de 2016</t>
  </si>
  <si>
    <t>Actividad Cumplida</t>
  </si>
  <si>
    <t xml:space="preserve">Durante el cuarto trimestre del 2016, se solicitó ante el DNP y MINHACIENDA una segunda carta de modificaciones al antepoyecto de presupuesto, efectuando algunos traslados entre recursos de proyectos, los cuales fuon autorizados en su totalidad.  
</t>
  </si>
  <si>
    <r>
      <t xml:space="preserve">El nivel de cumplimiento con corte a 30 de septiembre de 2016 es del 99%, correspondiente a la respuestas dadas a las solicitudes sobre consultas de gestión regulatoria formuladas.                                                                                                                      </t>
    </r>
    <r>
      <rPr>
        <b/>
        <sz val="18"/>
        <rFont val="Book Antiqua"/>
        <family val="1"/>
      </rPr>
      <t>(2268 Solicitudes atendidas sobre 2283 solicitudes recibidas)</t>
    </r>
  </si>
  <si>
    <r>
      <t xml:space="preserve">El nivel de cumplimiento con corte a 31 de diciembre  de 2016 es del 99,4%, correspondiente a la respuestas dadas a las solicitudes sobre consultas de gestión regulatoria formuladas.
</t>
    </r>
    <r>
      <rPr>
        <b/>
        <sz val="18"/>
        <rFont val="Book Antiqua"/>
        <family val="1"/>
      </rPr>
      <t>(3099 Solicitudes atendidas sobre 3116 solicitudes recibidas)</t>
    </r>
  </si>
  <si>
    <t xml:space="preserve">A corte de diciembre de 2016, se cumplió con la formulación, publicación e implementación del Plan Anticorrupción, quedando pendiente algunos aspectos en cuanto al componente de la Ley de Transparencia.
</t>
  </si>
  <si>
    <t xml:space="preserve">La entidad implementó el Plan Anticorrupción y de Atención al Ciudadano cumpliendo los lineamientos definidos en el Decreto 124 de 2016. Tanto la oficina de Control Interno, como la Oficina Asesora de Planeación adelantaron plenamente las tareas de seguimiento y monitoreo definidas en el decreto mencionado.  
</t>
  </si>
  <si>
    <t xml:space="preserve">No se cumplió al 100% tendiendo en cuenta que el Decreto 2573 de 2014 "Estratégia GEL" establece los criterios técnicos que debe contener una página web. La página web con la que cuenta la Entidad, presenta una estrucutra técnica que limita la incorporación de la totalidad de criterios que estable la norma, por lo que no se cumplió con la meta fijada.
En la vigencia 2016 no se contó con el presupuesto necesario para modernizar la página web de la Entidad. Para la vigencia 2017 se presupuestaron recursos para el proyecto de "Adquisición de nueva página WEB bajo el esquema Software as a Service".
</t>
  </si>
  <si>
    <t xml:space="preserve">La entidad formuló y publicó en la página web institucional el documento Estrategia de Rendición de Cuentas. Durante la vigencia se logró cumplir las tareas establecidas en la implementación.
</t>
  </si>
  <si>
    <t xml:space="preserve">La CRA junto con el MVCT y el FNA y con la colaboración del MINTIC, relaizaron el día 20 de octubre de 2016 el Foro Virtual de vivienda, ciudad y territorio, en el cual se resolvieron dudas de cómo acceder a los beneficos de programas como "Mi casa Ya", Vivienda 100% subsidiada, productos y servicios del FNA, y qué hace la Comisión de Regulación de Agua Potable y Saneamiento Básico, entre otras, logrando de esta forma la meta establecida para el Sector. 
</t>
  </si>
  <si>
    <t xml:space="preserve">En el cuarto trimestre la CRA publicó siete (7) proyectos normativos las  Resoluciones CRA 774, 775, 778, 779, 781, 782 y 783 para consulta y participación de grupos de interés y ciudadanía en general.
</t>
  </si>
  <si>
    <t xml:space="preserve">A diciembre de 2016, el FNA cuenta con 1.916.268 afiliados por cesantías y AVC
</t>
  </si>
  <si>
    <t xml:space="preserve">A diciembre de 2016, el FNA cuenta con 49.401créditos hipotecarios aprobados.
</t>
  </si>
  <si>
    <t xml:space="preserve">La entidad participó en las tres (3) Ferias de Atención al Ciudadano establecidas a nivel Sectorial, de acuerdo con el cronograma definido por el DNP, siendo estas:
- Villa del Rosario (Norte de Santander) 09 de Julio de 2016
- Florencia (Caqueta) 20 de Agosto de 2016 y 
- Sincé (Sucre) Noviembre 26
</t>
  </si>
  <si>
    <t xml:space="preserve">La CRA en conjunto con el MVCT y el FNA, de acuerdo a lo convenido se procedió a actualizar el Protocolo de Servicio al Ciudadano Sectorial. De igual manera, y como parte del compromiso se procedió a publicarlo en la página web de la entidad, el cual se puede consultar a través del link: http://cra.gov.co/apc-aa-files/31663137343035333435343330306137/protocolo-sectorial-de-atencin-ciudadana2016.pdf.
</t>
  </si>
  <si>
    <r>
      <t xml:space="preserve">La entidad durante la vigencia 2016, cumplió con las 96 horas programadas de Atención a la Ciudadanía    a través de la Sala de Chat virtual. Este canal permitió a los consultantes en tiempo real, resolver dudas e inquietudes presentadas.
</t>
    </r>
    <r>
      <rPr>
        <b/>
        <sz val="18"/>
        <rFont val="Book Antiqua"/>
        <family val="1"/>
      </rPr>
      <t xml:space="preserve">
</t>
    </r>
  </si>
  <si>
    <t xml:space="preserve">Durante el último trimeste del año la entidad publicó en la página web, la encuesta de evaluacón del nivel de satisfación de los usuarios respecto de los trámites y opas de la entidad. 
Los resultados obtenidos permiten identificar aspectos en los cuales la entidad trabajará para mejorar el nivel de satisfacción en la siguiente vigencia. El informe de resultados una vez se termine de elaborar serán publicado a mas tardar en el mes de enero de 2017.
</t>
  </si>
  <si>
    <t xml:space="preserve">Durante el cuarto trimestre se adelantaron las siguientes acciones:
1. Desarrollo de las actividades del Plan Institucional de Capacitación-PIC que hacen parte integral del Plan Estrtáegico de Recursos Humanos.
2. Desarrollo de las actividades del Plan de Bienestar Social programadas durante el trimestre y que hacen parte integral del Plan Estratégico de Recursos Humanos.
</t>
  </si>
  <si>
    <t xml:space="preserve">Se cumplió con el 100% de  las actividades previstas en el Plan Estratégico de Recursos Humanos aprobado para la vigencia. 
</t>
  </si>
  <si>
    <t xml:space="preserve">Durante el cuarto trimestre se presenta el siguiente avance  de las actividades que a continuación se relacionan y que se encuentran dentro del marco de las disposiciones normativas del Departamento Administrativo de Función Publica - DAFP en el Formulario Único Reporte de Avance de la Gestión – FURAG:
1. "Derechos Humanos., Principios y Mecanismos de Protección" dictada por  asesores de la Consejería de Derechos Humanos de la Presidencia de la República, en dos (2) jornadas. La primera  en la cual participaron 50 funcionarios. Y la segunda  la cual contó con la participación de 39 funcionarios.
2. "Participación Ciudadana", la cual fue dictada  por un asesor de la Función Pública. Esta jornada  fue intersectorial y contó con la participació de 16 personas de las tres entidades: MVCT, CRA y FNA
En el marco del Contrato Interadministrativo No. 434 del de 2016 suscrito entre el Ministerio de Vivienda, Ciudad y Territorio y la Universidad Militar Nueva Granada, se llevan a cabo las siguientes capacitaciones:Curso Buenas Prácticas de Persuasión para la Prestación de un mejor servicio, la cual contó con la participación de 20 funcionarios del Ministerio y Entrega de los diplomas el 1 de diciembre, a los funcionarios que a lo largo de la vigencia 2016, participaron en las capacitaciones. Esta entrega estuvo a cargo del Secretario General  y de la Coordinadora del Grupo de Talento Humano, y se llevó a cabo en el Aula Máxima de la Universidad.
De otra parte y en el marco del Contrato Interadministrativo No. 650 de 2016 suscrito entre el Ministerio de Vivienda, Ciudad y Territorio y la Universidad Militar Nueva Granada se lleva a cabo
1. Taller "Liderazgo...Un Arte para vivir" en el que participaron trece (13) directivos del Ministerio.
2. Curso Formación como auditor Integral HSEQ, que la Universidad llevó a cabo en conjunto con la firma SGS, donde participaron diez (10) Auditores internos del MVCT.
</t>
  </si>
  <si>
    <t xml:space="preserve">Se cumplió con el 100% de  las actividades previstas en el Plan de Capacitación y Bienestar aprobado para la vigencia. 
</t>
  </si>
  <si>
    <r>
      <t xml:space="preserve">Durante el cuarto trimestre se presenta el siguiente avance con el desarrollo de las actividades que a continuación se relacionan:
</t>
    </r>
    <r>
      <rPr>
        <b/>
        <sz val="13"/>
        <color indexed="8"/>
        <rFont val="Book Antiqua"/>
        <family val="1"/>
      </rPr>
      <t>1.</t>
    </r>
    <r>
      <rPr>
        <sz val="13"/>
        <color indexed="8"/>
        <rFont val="Book Antiqua"/>
        <family val="1"/>
      </rPr>
      <t xml:space="preserve"> En el marco del contrato de prestación de servicios de apoyo a la gestión No. 448 del 19 de Mayo del 2016 se  ejecutaron las siguientes actividades: Actividad de Hallowwen (Día de los Niños) donde asistieron 40 hijos de funcionarios con dos acompañantes, actividad de Cultura Organizacional, donde se desarrollo un taller enfocado a fortalecer competencias laborales en trabajo en equipo, relaciones interpersonales y comunicación asertiva, donde asistieron 371 funcionarios de la entidad, adicionalmente se realizo la Ceremonia de reconocimiento de Incentivos a los mejores empleados de carrera administrativa y de libre nombramiento y remoción, una mención de reconocimiento especial por haber acreditado nivel sobresaliente en la evaluación del desempeño laboral, por el periodo comprendido entre el 1 de febrero de 2015 y  el 31 de enero de 2016, Actividad de Vacaciones Recreativas para 30 hijos de los funcionarios de la entidad. Los lugares que los niños visitaron fueron los siguientes: Multiparque y tarde de cine, Finkana y Catedral de Sal de Zipaquira y tarde de juegos y la Actividad Intervención Clima Organizacional a la Subdirección de Subsidio Familiar de Vivienda, con base en los resultados de la medición de clima organizacional y la encuesta de riesgo psicosocial. Esta actividad se desarrollo en las instalaciones del centro de Convenciones de Cafam Floresta, donde asistieron 33 servidores públicos de dicha oficina.
</t>
    </r>
    <r>
      <rPr>
        <b/>
        <sz val="13"/>
        <color indexed="8"/>
        <rFont val="Book Antiqua"/>
        <family val="1"/>
      </rPr>
      <t>2.</t>
    </r>
    <r>
      <rPr>
        <sz val="13"/>
        <color indexed="8"/>
        <rFont val="Book Antiqua"/>
        <family val="1"/>
      </rPr>
      <t xml:space="preserve"> Por otra parte se desarrollaron otras actividades como: Carrera Desafío Bodytech, Concurso de Halloween del Ministerio, Taller sobre Educación Financiera, Charla sobre primeros auxilios para niños, Primera Feria Navideña y Novenas de Navidad con la participación de cada una de las áreas de la entidad.
</t>
    </r>
  </si>
  <si>
    <t xml:space="preserve">La Auditoría realizada con la firma Bureau Veritas durante diciembre de 2016 dió como resultado la recomendación de la expedición del certificado de calidad con cero hallazgos en el proceso de evaluación. 
</t>
  </si>
  <si>
    <t xml:space="preserve">La entidad aplicó la política de "Cero papel" que busca disminuir los consumos de este elemento en la entidad, creando en los servidores públicos, buenas prácticas  y uso racional de los insumos. La política en la entidad fúe aprobada desde el año 2013.
</t>
  </si>
  <si>
    <t xml:space="preserve">La CRA cumplió con el indicador propuesto, al racionalizar desde el ambiente tecnológico el trámite de Pago de Contribuiciones y haber implementado el pago mediante PSE (Servicio de Pagos en Línea) para facilidad de los prestadores. 
</t>
  </si>
  <si>
    <t xml:space="preserve">La Comisión durante el año 2016, actualizó e implemento el plan de manejo de residuos de aparatos eléctricos y electrónicos (RAEE) como lo establece la estrategia GEL conforme al decreto 2573 de 2014.
</t>
  </si>
  <si>
    <r>
      <t xml:space="preserve">Se completó el marco de inversión de TI en articulación con la misión, visión y objetivos estratégicos recientemente actualizados.
</t>
    </r>
  </si>
  <si>
    <t xml:space="preserve">El índice GEL, en lo referente a Seguridad y Privacidad de la Información estableció para los dos primeros años (2015 y 2016) se realizara el diagnóstico y la implementación del SGSI y para el tercer año (2017) realizar monitoreo y control. Con el desarrollo del 100% de las actividades definidas para la implementación del SGSI se cumplió a satisfacción con la meta establecida. 
Adicionalmente, importante mencionar que se logró la validación a satisfacción del SGSI por parte de MinTIC.
</t>
  </si>
  <si>
    <t xml:space="preserve">El 28 de noviembre de 2016 se aprobó la actualización del Programa de Gestión Documental por el Comité de Desarrollo Administrativo. Dicha actualización se implementará en el 2017. Adicionalmente se aprobó, la actualización de las tablas de retención documental, la Política de Gestión Documental y el PINAR.
</t>
  </si>
  <si>
    <t xml:space="preserve">Al cierre de la vigencia fiscal del 2016, se cumple con el 100% de la meta, ya que se genberan los informes de octubre, noviembre y diciembre de 2016.
</t>
  </si>
  <si>
    <t xml:space="preserve">La entidad cumplió al 100% con la presentación de los informes mensuales de seguimiento de Ejecución Presupuestal, en el tiempo establecido. 
</t>
  </si>
  <si>
    <t xml:space="preserve">A 31 de diciembre de 2016 la entidad cumplió con la metas de PAC proyectadas para la vigencia.
</t>
  </si>
  <si>
    <t xml:space="preserve">Se elaboró el tercer  informe trimestral con corte al 30 de Septiembre, con la información generada en el aplicativo SPI con base en el reporte de los indicadores de producto.   
</t>
  </si>
  <si>
    <t xml:space="preserve">La entidad cumplió en tiempo a 30 de septiembre con el informe de SPI (reporte de información) que permite conocer el avance físico de los proyectos
</t>
  </si>
  <si>
    <r>
      <t xml:space="preserve">La entidad cumplió en tiempo con el informe de SPI (reporte de información) que permite conocer el avance físico de los proyectos.
</t>
    </r>
    <r>
      <rPr>
        <b/>
        <sz val="18"/>
        <rFont val="Book Antiqua"/>
        <family val="1"/>
      </rPr>
      <t xml:space="preserve">
</t>
    </r>
  </si>
  <si>
    <t xml:space="preserve">Durante el trimestre la entidad cumplió con la presentación de informes de seguimiento del avance de gestión del producto de la entidad (SPI).
</t>
  </si>
  <si>
    <t xml:space="preserve">Las dependencias actualizaron el plan de compras y lo remiten a la Subdireccion Administrativa.
</t>
  </si>
  <si>
    <t xml:space="preserve">Se cumplió con la meta establecida y se esta revisando mensualmente el Plan Anual de Adquisiciones, presentando a la  Subdirección Administrativa y Financiera las actualizaciones y modificaciones para  que sea presentado y aprobado el el comité de Expertos y posterior publicación en el SECOP y en la página web de la Entidad. 
</t>
  </si>
  <si>
    <t xml:space="preserve">El FNA a realizado un plan de acción para darle cumplimiento a la Ley 1712 de 2014 y a la Guía de cumplimiento para la transparencia. El grado de avance de dicho plan de acción en el componente de los Instrumentos de la gestión de información es satisfactorio dando como resultado la actualización y su posterior publicación. El subcomponente de transparencia activa genero un avance frente a las TRD las cuales se encuentran en evaluación y convalidación por parte del Archivo General de la Nación.
</t>
  </si>
  <si>
    <t xml:space="preserve">A 30 de septiembre del año 2016 el FNA publicó 2 Acuerdos,1 Resolución Institucional y la Ley 1803 de educación. 
Adicional se publicó las modificaciones al Plan Anticorrupción y Plan Sectorial del trimestre (PEIPGS)
</t>
  </si>
  <si>
    <t xml:space="preserve">En el cuarto trimestre del año 2016 el FNA publicó 2 Acuerdos y 1 Resolución Institucional.
Adicional se publicó el avance al Plan Sectorial del trimestre (PEIPGS)
</t>
  </si>
  <si>
    <t xml:space="preserve">Se realizó el foro virtual el 20 de octubre de 2016 con participación de Vicepresidentes y Directores de las 3 entidades del sector, donde se respondieron dudas de la ciudadanía.
</t>
  </si>
  <si>
    <t xml:space="preserve">El FNA dio cumplimiento a la estrategia de rendición de cuentas publicada en la pagina web de la entidad.
</t>
  </si>
  <si>
    <r>
      <t xml:space="preserve">A corte del 31 de diciembre de 2016 se realizaron 7.920 horas de atención Online de las 7.920 programadas de febrero a diciembre de 2016. 
</t>
    </r>
  </si>
  <si>
    <t xml:space="preserve">Se realizó la actualización del manual del protocolo para la atención al ciudadano por las entidades del sector, y el 20 de diciembre se publicó en la página web.
</t>
  </si>
  <si>
    <t xml:space="preserve">1. Continúa a disposición del consumidor financiero de manera permanente la encuesta de satisfacción.
2. Se realiza seguimiento a los resultados de la encuesta de medición, la cual esta automatizada.
</t>
  </si>
  <si>
    <t xml:space="preserve">A corte de diciembre de 2016, el FNA ejecutó el 90% del Plan Estrategico de Talento Humano, quedando pendiente la ejecución de cultura y clima organizacional
</t>
  </si>
  <si>
    <t xml:space="preserve">El FNA ejecuto 5 ejes temáticos y 48 capacitaciones en temas estratégicos y misionales.
</t>
  </si>
  <si>
    <t xml:space="preserve">A corte del diciembre de 2016 se ejecutó en su totalidad el Plan de Bienestar Social.
</t>
  </si>
  <si>
    <t xml:space="preserve">La Auditoria de Recertificación para el Sistema de Gestión de Calidad del FNA, se realizó en el mes de abril de 2016 y para el 16 de julio fue entregado oficialmente por el ente Certificador ICONTEC, la renovación del certificado en NTCGP 1000:2009.
</t>
  </si>
  <si>
    <r>
      <t xml:space="preserve">El FNA no alcanzó el ahorro en consumo de papel del 5% frente al consumo del año 2015. Sin embargo implementó un programa de compensación bajo un programa de reforestación con la Fundación Natura, lo cual un 17% del consumo de papel se compensa por medio de la siembra de 300 árboles. Adicionalmente, se tiene programada otra  compensación para el año 2017, por medio de 360 árboles,  debido al crecimiento de la entidad durante el 2016.
Como parte de la implementación del Sistema de Gestión Ambiental, el FNA cuenta con un Comité de Coordinacion Ambiental y se creó e implementó la Politica Ambiental del FNA, la cual incluye el compromiso respecto al ahorro de papel; sus componentes fueron divulgados con el equipo de Comunicaciones.
</t>
    </r>
    <r>
      <rPr>
        <sz val="16"/>
        <color indexed="8"/>
        <rFont val="Book Antiqua"/>
        <family val="1"/>
      </rPr>
      <t xml:space="preserve">
</t>
    </r>
  </si>
  <si>
    <t xml:space="preserve">El tramite de Legalización continúo siendo objeto de revisión y mejoramiento, se identificación las 9 etapas del tramite y se mejoró en tiempos y servicio al consumidor  Financiero.
</t>
  </si>
  <si>
    <t xml:space="preserve">Dando cumplimiento a la política de Eficiencia Administrativa, se realizó la actualización, publicación e implementación del plan de manejo de RAEE y el plan de gestión Integral de Residuos peligrosos RESPEL para la vigencia 2016, previamente aprobados por el comité ambiental del FNA.
</t>
  </si>
  <si>
    <t xml:space="preserve">Para el año 2016, el PETIC cierra con un avance de ejecución del 98%.
</t>
  </si>
  <si>
    <t xml:space="preserve">El FNA cumple con el Modelo de Seguridad y Privacidad de la Información de acuerdo a los lineamientos GEL.
</t>
  </si>
  <si>
    <t xml:space="preserve">Para el cuarto trimestre, se encuentra integrado al presupuesto del 2017, la elaboración de los instrumentos archivísticos y documentos de apoyo que hacen falta en el Archivo FNA.
En el mes de diciembre de 2016 se presentó al Archivo General de la Nación los ajustes indicados por los mismos en cuanto a las Tablas de Retención Documental con un avance del 90%.
</t>
  </si>
  <si>
    <t xml:space="preserve">Se creó el anteproyecto de presupuesto, el cual fue remitido al presidente del FNA quien a su vez lo presentó ante a la Junta Directiva, organo que lo aprobó en noviembre de 2016.
</t>
  </si>
  <si>
    <t xml:space="preserve">El FNA cuenta con los 12 informes de ejecución presupuestal del año 2016.
</t>
  </si>
  <si>
    <t xml:space="preserve">Se elaboró el Plan anual de adquisiciones y se actualizó en la pagina web de la entidad.
</t>
  </si>
  <si>
    <r>
      <t xml:space="preserve">Con corte a 31 de diciembre 2016  el avance de la meta es del 100% al capacitar 80 a los municipios del pais:
</t>
    </r>
    <r>
      <rPr>
        <sz val="14"/>
        <rFont val="Book Antiqua"/>
        <family val="1"/>
      </rPr>
      <t>Bolívar (1):Cartagena 
Antioquia (18):   Medellín, Amaga, Anorí, Anza, Don Matías, Ebejico, Fredonia, Giraldo, Mutata, Salgar, Sopetran, Támesis, Yolombó, Envigado, Barbosa, Bello, Sabaneta y La Estrella.
Santander (57): Aguada, Albania, Aratoca, Barrancabermeja, Betulia, Bolívar, Bucaramanga, Cabrera, California, Capitanejo, Carcasí, Cerrito, Charalá, Charta, Chipatá, Concepción, Confines, Coromoro, Curití, El Peñón, Encino, Floridablanca, Gámbita, Girón, Guaca, Guadalupe, Güepsa, Hato, Lebrija, Los Santos, Málaga, Matanza, Mogotes, Ocamonte, Palmar, Pinchote, Rionegro, Sabana de Torres, San Andrés, San Benito, San Gil, San José de Miranda, San Miguel, San Vicente, Santa Bárbara, Santa Helena del Opón, Simacota, Socorro, Suaita, Sucre, Suratá, Tona, Valle de San José, Vélez, Vetas, Villanueva, Zapatoca.
Cesar (4): El Paso, LaJagua, Gamarra y Aguachica</t>
    </r>
  </si>
  <si>
    <t>Se tiene creado el botón de transparencia y acceso a la información pública en la página web con los respectivos items solicitados en la Ley 1712 de 2014, el Decreto 103 y la Res. 3564 de MinTic de 2015. Se espera que en la vigencia de 2017 la Procuraduría General de la Nación realice la visita para hacer la verificación respectiva de cumplimiento.
Se anexa el link del botón:
http://portal.minvivienda.local/atencion-al-ciudadano/ley-de-transparencia</t>
  </si>
  <si>
    <t>El 20 de octubre de 2016 en horas de la tarde en las instalaciones de MinTic con el acompañamiento de Urna de Cristal, se realizó el foro virtual con la participación de las tres entidades del sector (CRA, FNA y Ministerio de Vivienda Ciudad y Territorio), donde durante 40 minutos se diió respuesta en línea  la mayoría de preguntas de los ciudadanos, las demás preguntas hechas antes, durante y después del Foro se contestaron vía correo o a través de las diferentes redes sociales.
Para tal fin se anexa dirección dende se encuentra grabada el foro
: http://www.urnadecristal.gov.co/acuerdo-y-tematica/foro-virtual-sectorial-ministerio-de-vivienda-ciudad-y-territorio</t>
  </si>
  <si>
    <t>Para tal fin se generó el documento de la estrategia y los respectivos informes trimestrales, sin embargo cabe aclarar que la disminución esperada para el 2016 no se dio.
Los informes y la estrategia se generaron, pero por cultura y temas de asumir un reto real por parte de cada una de las áreas no se han presentado disminuciones en el consumo de papel.</t>
  </si>
  <si>
    <t>Se realizó el análisis del portafolio de proyectos del PETIC con los componentes de la estartegia GEL.
Se ajustaron el cronograma de los proyectos del PETIC, con respecto a su ejecución y se realizó el cruce con los componenentes de GEL.</t>
  </si>
  <si>
    <t>El indicador durante el año 2016, arroja el cumplimiento del compromiso en el 75%. Se desarrolló toda la fase de planeación y se logró que el Ministerio adoptara por resolución el SGSI, la Política de Seguridad de la Información y la Política de Protección de Datos Personales. El Ministerio contrató una consultoría con la Universidad Nacional, la cual hizo un análisis de vulnerabilidades, levantó un inventario de activos de información, realizó el análisis de riesgo a los activos de información identificados  y por último elaboró un  plan maestro que servirá como insumos para mitigar los riesgos y las vulnerabilidades identificadas, durante el año 2017.</t>
  </si>
  <si>
    <t xml:space="preserve">El Ministerio participó en tres (3) ferias de servicio al ciudadano  a nivel sectorial en los municipios de:  Villa Del Rosario (08 Julio) y Florencia 20 Agosto) y  Since (26 Noviembre).
</t>
  </si>
  <si>
    <t xml:space="preserve">Durante el año 2016 el FNA participó en las 3 ferias de servicio al ciudadano organizadas por el DNP 
-Villa del Rosario (Julio 09)
- Florencia (Agosto 20)
- Since (Noviembre 26)
</t>
  </si>
  <si>
    <t xml:space="preserve">Con corte al 31 de diciembre  se atendieron mas de 885 horas de Chat ,  de las 885 horas programadas.
</t>
  </si>
  <si>
    <t>El protocolo sectorial se encuentra publicado en el link: de la pagina web del Ministerio http://www.minvivienda.gov.co/Grupo%20TIC/Protocolo%20de%20atenci%C3%B3n%20al%20ciudadano%202016.pdf</t>
  </si>
  <si>
    <r>
      <t>La encuesta se encuentra formulada y publicada en el link: http://www.minvi</t>
    </r>
    <r>
      <rPr>
        <sz val="16"/>
        <rFont val="Book Antiqua"/>
        <family val="1"/>
      </rPr>
      <t>vienda.gov.co/trámites-y-servicios 
y sus resultados se encuentran publicados en el link: 
http://www.minvivienda.gov.co/sobre-el-ministerio/grupo-de-atencion-al-usuario</t>
    </r>
  </si>
  <si>
    <t>Se encuentra publica en la intranet del Ministerio debidamente actualizado, en el siguiente link:  http://nuestranet.minvivienda.local/Dependencias/SecretariaGeneral/SubdireccionServiciosAdministrativos/GrupoRecursosFisicos/Paginas/Documentos%20Compartidos.aspx</t>
  </si>
  <si>
    <t>El programa de Gestión Documental se elaboró conforme a las directrices establecidas por el AGN  y se encuentra publicado en la página del Ministerio en el siguiente link  http://portal.minvivienda.local/ProcesosCorporativos/GD-I-01%20Programa%20de%20Gestión%20Documental%202.0.pdf 
respecto a la implementación se ve reflejado en la orgnización de los archivos , la implementación de las TRD y la ejecución de las políticas  de seguridad y respaldo de la información como la digitalizacion de documentos establecidas por el Minsterio.  Es conveniente precisar que en el proceso de implementación del PG es una actividad continua y permanente, sujeta a verificación por el GAUA.</t>
  </si>
  <si>
    <t>El grupo Seguimiento a proyectos de inversión realizo el cuarto informe trimestral con corte al 31 de diciembre, donde se consolido el avance de información  de los indicadores de productos, es importante mencionar que el DNP estableció como fecha máxima de reporte para el cierre de la vigencia 2016 el 9 de febrero de 2017.</t>
  </si>
  <si>
    <t>El grupo de Seguimiento a proyectos de inversión realizo el cuarto informe trimestral con corte al 31 de diciembre, donde se consolido el avance de información  de los indicadores de gestión, es importante mencionar que el DNP estableció como fecha máxima de reporte para el cierre de la vigencia 2016 el 9 de febrero de 2017.</t>
  </si>
  <si>
    <t xml:space="preserve">En el marco del Programa de Cobertura Condicionada para Créditos de Vivienda de Segunda Generación duarnte el año 2016 se registro 31.843 créditos con cobertura en el FRECH - Ley 1450 de 2011, distribuidas de la siguiente manera: 7.278 coberturas para el segmento de vivienda de 0 a 70 smmlv y para el segmento de vivienda &gt;70 a 135 smmlv 24.565 coberturas. </t>
  </si>
  <si>
    <t xml:space="preserve">No es posible registrar avance a diciembre de 2016, dado que la estimación del déficit se realiza a partir de información muestral proveniente de la Gran Encuesta Integrada de Hogares del DANE, que tiene una cobertura mensual de 19 mil hogares en 24 departamentos del país. Para obtener una estimación estadísticamente robusta se agregan los doce meses del año, por lo cual el indicador solo se puede obtener con periodicidad anual, con un rezago de cuatro meses. </t>
  </si>
  <si>
    <t xml:space="preserve">1. Número de boletines de prensa publicados: 22 boletines internos y 12 externos (responsable Grupo de Comunicaciones)
2. Informe redes sociales: durante diciembre de 2016 se realizó a través de las redes sociales jornadas de participación ciudadana invitando a la Rendición de Cuentas del Ministerio 2016 (responsable Grupo de Comunicaciones)
3. Programa Escala TV: durante el periodo comprendido entre 4 de septiembre y el 18 de diciembre de 2016, a través del programa de TV Escala se han emitido once programas en los cuales se han incluido la sección Min Vivienda Responde, en la cual la población tiene la oportunidad de preguntar a la Ministra sobre los diferentes temas que aborda el Ministerio.
4. Se elaboró un informe de resultados sobre la rendición de cuentas sectorial que se realizó en Santander de Quilichao, publicado 19 de diciembre de 2016 (Responsable Planeación). El día de hoy se solicitó su publicación.
5. Respecto a la Audiencia Pública de Rendición de Cuentas realizada el 5 de diciembre, el  21 de noviembre se solicitó la publicación del informe de rendición de cuentas y el 22 de noviembre quedó publicado.  Por otra parte, el 24 de noviembre se publicó el formulario de  inscripción y la encuesta de consulta previa a la ciudadanía. (Responsable Planeación).
6. Desde el mes de septiembre a la fecha se han realizado 4 reuniones del Comité Interdisciplinario en las siguientes fechas: 05/09/2016, 01/11/2016, 05/11/2016 y 24/11/2016. </t>
  </si>
  <si>
    <r>
      <t xml:space="preserve">Con corte a 30 de septiembre de 2016, se han capacitado 119 Municipios del país:
</t>
    </r>
    <r>
      <rPr>
        <sz val="14"/>
        <rFont val="Book Antiqua"/>
        <family val="1"/>
      </rPr>
      <t>Vichada (1): Cumaribo
Meta (1): Mapiripán  
Antioquia (12):  Amaga, Anorí, Anza, Don Matías, Ebejico, Fredonia, Giraldo, Mutata, Salgar, Sopetran, Támesis, Yolombó.
Caldas (16): Aguadas, Chinchina, Manizales, Marmato, Marquetalia, Neira, Norcasia, Pacora, Palestina, Riosucio, Salamina, San José, Supia, Victoria, Villamaría, Viterbo. 
Putumayo (7): Mocoa, Orito, Puerto Leguizamo, San Francisco, Santiago, Sibundoy, Puerto Asís.
Cundinamarca (53): Bogota D.C., Bojaca, Cachipay, Carmen De Carupa, Chaguani, Cogua, Cota, El Colegio, El Rosal, Fomeque, Gachala, Gama, Girardot, Guaduas, Guasca, Guayabal De Siquima, Guayabetal, Gutierrez, La Palma, Madrid, Medina, Mosquera, Nimaima, Nocaima, Pacho, Paime, Paratebueno, Pasca, Puli, Quipile, San Antonio Del Tequendama, San Francisco, San Juan De Rioseco, Sibate, Silvania, Simijaca, Subachoque, Supata, Tabio, Tausa, Tenjo, Tibacuy, Tibirita, Tocaima, Tocancipa, Topaipi, Ubala, Une, Venecia, Viani, Villeta, Zipacon, Zipaquira.
Nariño (29): Arboleda (Berruecos), Chachagui, Colon (Genova), Consaca, Contadero, Cuaspud (Carlosama), Cumbitata, El Charco, El Tablon De Gomez, Funes, Guachucal, Iles, Imues, La Florida, La Tola, Linares, Mallama (Piedrancha), Narino, Pasto, Policarpa, Potosi, Puerres, Ricaurte, Roberto Payan (San Jose), San Bernardo, Sandona, Santa Barbara (Iscuande), Tangua, Tuquerres.</t>
    </r>
  </si>
  <si>
    <t>El servicio de automatización y puesta en línea del servicio de autorización de movilización de recursos depositados en cuentas CAP fue contratado mediante el Otro Sí número 1 al contrato 392 de 2016 para lo cual se espera contar con el servicio totalmente en línea en el transcurso del primer mes de 2017</t>
  </si>
  <si>
    <r>
      <t xml:space="preserve">* El VAPSB:                                                                                        
1. El 22 de febrero al 7 de marzo el proyecto normativo por el cual se modifica el artículo 2.3.4.3.3. del capítulo 3 del Título 4 del Decreto 1077 de 2015.                                                                         
* En el VV : la DSH 
1.  Proyecto Resolución “Por la cual se establecen criterios para realizar redistribuciones de cupos de recursos en el marco del Programa de Vivienda de Interés Prioritario para Ahorradores - VIPA”. Fecha Publicación 08 de febrero de 2016
2. Proyecto Resolución “Por la cual se definen los Departamentos y/o Municipios en los que se implementará el Programa de Promoción de Acceso a la Vivienda de Interés Social  - Mi Casa Ya”  Fecha Publicación 10 de febrero de 2016                                                                                                   * OAP :  
1. Plan Anticorrupción 2015.  
2. Plan de acción 2016. 3. Informe de Gestión 2015.
* El VAPSB:                                                                                                                                          
1.   Proyecto Normativo por el cual se establece el plazo del artículo 2.3.5.1.2.1.9 del Decreto 1077 de 2015, publicado en la página web del 26 al 29 de Abril. 
Se actualizó la página web, capitilo VIceministerio de Agua en los temas de RAS y Residuos solidos en los siguientes link: 
http://www.minvivienda.gov.co/viceministerios/viceministerio-de-agua/planes-de-gestion-integral-de-residuos-solidos
http://www.minvivienda.gov.co/viceministerios/viceministerio-de-agua/alianza-para-el-reciclaje-inclusivo
http://www.minvivienda.gov.co/viceministerios/viceministerio-de- agua/reglamento-tecnico-del-sector                                                                                                * En el VV : la DSH 
2.   Proyecto Resolución "Por el cual se modifica el numeral 2o. del artículo 2.1.1.3.3.4 del Decreto 1077 de 2015 en relación con las fechas de desembolso de la cobertura de la tasa de interés en el marco del Programa de Vivienda de Interés Prioritario para Ahorradores". Fecha Publicación 6 de mayo de 2016  
* El  VAPSB :                                                                                                                                            
1.  Instrumento Normativo A cargo del GPS . Maria E. Cruz Publicado para comentarios en página web del 29 de agosto al 27 de septiembre “Por la cual se adopta el Reglamento Técnico para el Sector de Agua Potable y Saneamiento Básico – RAS y se derogan las resoluciones 1096 de 2000, 0424 de 2001, 0668 de 2003, 1459 de 2005, 1447 de 2005 y 2320 de 2009”.                                                                                                                                                                             
2.  Instrumento Normativo A cargo del GPS . Maria E. Cruz Publicado para comentarios en página web del 31 de agosto al 30 de septiembre “Por la cual se expiden los requisitos técnicos que deben cumplir los tubos, ductos y accesorios de acueducto y alcantarillado, los de uso sanitario y los de aguas lluvias, que adquieran las personas prestadoras de los servicios de acueducto y alcantarillado, así como las instalaciones hidrosanitarias al interior de las viviendas y se derogan las resoluciones 1166 de 2006 y 1127 de 2007”.
3. Instrumento Normativo de firma conjunta con MADS y MVCT (A cargo del GDS ) Publicado para comentarios en página web del 28 julio al 02 de agosto
"Por medio del cual se reglamenta el artículo 228 de la Ley 1753 de 2015 y se adiciona una sección del Decreto 1076 de 2015, Decreto Único Reglamentario del Sector Ambiente y Desarrollo Sostenible.  Instrumento Normativo de firma conjunta con MADS"
4. Instrumento Normativo de firma conjunta con Ministerio de Salud  (A cargo del GDS)  Publicado para comentarios en página web del 16 al 20 de septiembre "Por la cual se adopta la Guía que incorpora los criterios y actividades mínimas de los estudios de riesgo, programas de reducción de riesgo y planes de contingencia de los sistemas de suministro de agua para consumo humano" 
5. Instrumento Normativo (A cargo del GSGP)  Publicado para comentarios en página web del 29 de julio al 03 de agosto,  "Por medio de la cual se definen los indicadores, variables y ponderadores para la determinación del criterio de eficiencia fiscal y administrativa en la gestión sectorial de agua potable y saneamiento básico en las vigencias 2017, 2018, 2019 y 2020"
6.  Instrumento Normativo (A cargo del GSGP)  Publicado para comentarios en página web del 01 al 16 de septiembre, " Por medio de la cual se reglamentan las Cuentas Maestras de las entidades territoriales para la administración de los recursos del Sistema General de Participaciones de Agua Potable y Saneamiento Básico" 
* En VV : la DSH  
1. Proyecto de Resolución: Por la cual se establecen criterios para realizar redistribución de cupos de recursos en el marco de la Segunda Etapa del Programa de Vivienda Gratuita. Fecha de publicación: 25 de julio de 2016.
2.  Proyecto de Resolución: Por la cual se establecen criterios para realizar redistribución de cupos de recursos en el marco de la Segunda Etapa del Programa de Vivienda Gratuita. Fecha de publicación: 23 de septiembre de 2016.
V.V  DEUT :
</t>
    </r>
    <r>
      <rPr>
        <sz val="14"/>
        <color indexed="8"/>
        <rFont val="Book Antiqua"/>
        <family val="1"/>
      </rPr>
      <t>1.</t>
    </r>
    <r>
      <rPr>
        <sz val="11"/>
        <color indexed="8"/>
        <rFont val="Book Antiqua"/>
        <family val="1"/>
      </rPr>
      <t xml:space="preserve"> Proyecto de decreto“Por el cual se modifica parcialmente el Decreto 1077 de 2015 en lo relacionado con los requisitos de solicitud, el alcance y modalidades de las licencias urbanísticas, sus vigencias y prórrogas” .
</t>
    </r>
    <r>
      <rPr>
        <sz val="14"/>
        <color indexed="8"/>
        <rFont val="Book Antiqua"/>
        <family val="1"/>
      </rPr>
      <t>2.</t>
    </r>
    <r>
      <rPr>
        <sz val="11"/>
        <color indexed="8"/>
        <rFont val="Book Antiqua"/>
        <family val="1"/>
      </rPr>
      <t xml:space="preserve"> Proyecto de resolución "Por medio de la cual se derogan las Resoluciones Nos. 1002 del 25 de Mayo 2010 y 0931 del 24 de Diciembre de 2012, y se adoptan el Formulario Único Nacional para la solicitud de licencias urbanísticas, la guía para su diligenciamiento, y el Formato de Revisión e Información de Proyectos”.
</t>
    </r>
    <r>
      <rPr>
        <sz val="14"/>
        <color indexed="8"/>
        <rFont val="Book Antiqua"/>
        <family val="1"/>
      </rPr>
      <t>3.</t>
    </r>
    <r>
      <rPr>
        <sz val="11"/>
        <color indexed="8"/>
        <rFont val="Book Antiqua"/>
        <family val="1"/>
      </rPr>
      <t xml:space="preserve"> Proyecto de decreto "Por el cual se modifica parcialmente el Decreto 1077 de 2015 en lo relacionado con las características de la vivienda de interés social y prioritario en tratamiento de renovación urbana para las modalidades de redesarrollo y reactivación".
</t>
    </r>
  </si>
  <si>
    <t>Durante el año 2016 se iniciaron 9.000 soluciones de vivienda en el marco del Programa de Vivienda de Interés Prioritario – VIPA en 40 proyectos. La ejecución de estas viviendas se presentó en 23 municipios de 15 departamentos del país.</t>
  </si>
  <si>
    <r>
      <t>Durante el tercer trimestre, en el Programa de Promoción y acceso a la viveinda de interés social "Mi Casa Ya" se han habilitado 5.999</t>
    </r>
    <r>
      <rPr>
        <b/>
        <sz val="18"/>
        <rFont val="Book Antiqua"/>
        <family val="1"/>
      </rPr>
      <t xml:space="preserve"> </t>
    </r>
    <r>
      <rPr>
        <sz val="18"/>
        <rFont val="Book Antiqua"/>
        <family val="1"/>
      </rPr>
      <t xml:space="preserve">hogares,  en lo que va corrido de la vigencia se tiene un total acumulado de </t>
    </r>
    <r>
      <rPr>
        <b/>
        <sz val="18"/>
        <rFont val="Book Antiqua"/>
        <family val="1"/>
      </rPr>
      <t>20.000</t>
    </r>
    <r>
      <rPr>
        <sz val="18"/>
        <rFont val="Book Antiqua"/>
        <family val="1"/>
      </rPr>
      <t xml:space="preserve"> coberturas otorgadas.                                                                                                   
</t>
    </r>
  </si>
  <si>
    <r>
      <t>Durante el 2016 en el Programa "Mi Casa Ya",  se habilitaron</t>
    </r>
    <r>
      <rPr>
        <b/>
        <sz val="18"/>
        <rFont val="Book Antiqua"/>
        <family val="1"/>
      </rPr>
      <t xml:space="preserve"> 20.000</t>
    </r>
    <r>
      <rPr>
        <sz val="18"/>
        <rFont val="Book Antiqua"/>
        <family val="1"/>
      </rPr>
      <t xml:space="preserve"> hogares, en los municipios de los departamentos de Amazonas, Antioquia, Arauca, Atlántico, Bolívar, Boyacá, Caldas, Caquetá, Casanare, Cauca, Cesar, Chocó, Córdoba, Cundinamarca, Huila, La Guajira, Magdalena, Meta, Nariño, Norte de Santander, Putumayo, Quindío, Risaralda, Santander, Sucre, Tolima y Valle.</t>
    </r>
  </si>
  <si>
    <r>
      <t>Durante la vigencia 2016 de acuerdo con la selección de los proyectos y constructores para el desarrollo del Programa de Vivienda Gratuita Segunda Fase, en el mes de noviembre firmaron 67 contratos de obras, con el que se dió el inició a un total de 500</t>
    </r>
    <r>
      <rPr>
        <b/>
        <sz val="18"/>
        <rFont val="Book Antiqua"/>
        <family val="1"/>
      </rPr>
      <t xml:space="preserve"> </t>
    </r>
    <r>
      <rPr>
        <sz val="18"/>
        <rFont val="Book Antiqua"/>
        <family val="1"/>
      </rPr>
      <t xml:space="preserve">viviendas en 24 departamentos del país. </t>
    </r>
  </si>
  <si>
    <r>
      <t xml:space="preserve">Con corte a 31 de diciembre de 2016  el avance de la meta es del  100% al capacitar 130 municipios del pais: 
</t>
    </r>
    <r>
      <rPr>
        <sz val="13"/>
        <rFont val="Book Antiqua"/>
        <family val="1"/>
      </rPr>
      <t>Vichada (1): Cumaribo
Meta (1): Mapiripán  
Antioquia (12):  Amaga, Anorí, Anza, Don Matías, Ebejico, Fredonia, Giraldo, Mutata, Salgar, Sopetran, Támesis, Yolombó.
Caldas (16): Aguadas, Chinchina, Manizales, Marmato, Marquetalia, Neira, Norcasia, Pacora, Palestina, Riosucio, Salamina, San José, Supia, Victoria, Villamaría, Viterbo. 
Putumayo (7): Mocoa, Orito, Puerto Leguizamo, San Francisco, Santiago, Sibundoy, Puerto Asís.
Cundinamarca (53): Bogota D.C., Bojaca, Cachipay, Carmen De Carupa, Chaguani, Cogua, Cota, El Colegio, El Rosal, Fomeque, Gachala, Gama, Girardot, Guaduas, Guasca, Guayabal De Siquima, Guayabetal, Gutierrez, La Palma, Madrid, Medina, Mosquera, Nimaima, Nocaima, Pacho, Paime, Paratebueno, Pasca, Puli, Quipile, San Antonio Del Tequendama, San Francisco, San Juan De Rioseco, Sibate, Silvania, Simijaca, Subachoque, Supata, Tabio, Tausa, Tenjo, Tibacuy, Tibirita, Tocaima, Tocancipa, Topaipi, Ubala, Une, Venecia, Viani, Villeta, Zipacon, Zipaquira.
Nariño (29): Arboleda (Berruecos), Chachagui, Colon (Genova), Consaca, Contadero, Cuaspud (Carlosama), Cumbitata, El Charco, El Tablon De Gomez, Funes, Guachucal, Iles, Imues, La Florida, La Tola, Linares, Mallama (Piedrancha), Narino, Pasto, Policarpa, Potosi, Puerres, Ricaurte, Roberto Payan (San Jose), San Bernardo, Sandona, Santa Barbara (Iscuande), Tangua, Tuquerres.
Tolima (20): Ambalema, Cajamarca, Carmen De Apicala, Casabianca, Espinal, Guamo, Herveo, Icononzo, Lerida, Libano, Mariquita, Murillo, Ortega, Piedras, Planadas, Roncesvalles, Rovira, San Luis, Santa Isabel, Venadillo.</t>
    </r>
  </si>
  <si>
    <r>
      <t xml:space="preserve">Con corte a 31 de diciembre de 2016  el avance de la meta es del  100% al capacitar 130 a los municipios del pais:
</t>
    </r>
    <r>
      <rPr>
        <sz val="13"/>
        <rFont val="Book Antiqua"/>
        <family val="1"/>
      </rPr>
      <t>Córdoba (17):  San Andrés de Sotavento, Chinú, Lorica, Montelibano, Cerete, Montería, Ayapel, Moñitos, Canalete, Planeta Rica, Pueblo Nuevo, San Pelayo, San Antero, Tuchin, Chima, Los Córdobas, Puerto Escondido.
Antioquia (12):  Amaga, Anorí, Anza, Don Matías, Ebejico, Fredonia, Giraldo, Mutata, Salgar, Sopetran, Támesis, Yolombó.
Putumayo (7): Mocoa, Orito, Puerto Leguizamo, San Francisco, Santiago, Sibundoy, Puerto Asís.
Cundinamarca (53): Bogota D.C., Bojaca, Cachipay, Carmen De Carupa, Chaguani, Cogua, Cota, El Colegio, El Rosal, Fomeque, Gachala, Gama, Girardot, Guaduas, Guasca, Guayabal De Siquima, Guayabetal, Gutierrez, La Palma, Madrid, Medina, Mosquera, Nimaima, Nocaima, Pacho, Paime, Paratebueno, Pasca, Puli, Quipile, San Antonio Del Tequendama, San Francisco, San Juan De Rioseco, Sibate, Silvania, Simijaca, Subachoque, Supata, Tabio, Tausa, Tenjo, Tibacuy, Tibirita, Tocaima, Tocancipa, Topaipi, Ubala, Une, Venecia, Viani, Villeta, Zipacon, Zipaquira.
Nariño (29): Arboleda (Berruecos), Chachagui, Colon (Genova), Consaca, Contadero, Cuaspud (Carlosama), Cumbitata, El Charco, El Tablon De Gomez, Funes, Guachucal, Iles, Imues, La Florida, La Tola, Linares, Mallama (Piedrancha), Narino, Pasto, Policarpa, Potosi, Puerres, Ricaurte, Roberto Payan (San Jose), San Bernardo, Sandona, Santa Barbara (Iscuande), Tangua, Tuquerres.
Tolima (28): Ambalema, Anzoategui, Armero (Guayabal), Cajamarca, Carmen De Apicala, Casabianca, Coello, Espinal, Falan, Guamo, Herveo, Icononzo, Lerida, Libano, Mariquita, Murillo, Ortega, Palocabildo, Piedras, Planadas, Purificacion, Roncesvalles, Rovira, San Antonio, San Luis, Santa Isabel, Venadillo, Villahermosa.</t>
    </r>
  </si>
  <si>
    <r>
      <t xml:space="preserve">
Con corte a 30 de septiembre de 2016, se han capacitado  118  Municipios del país:
</t>
    </r>
    <r>
      <rPr>
        <sz val="13"/>
        <rFont val="Book Antiqua"/>
        <family val="1"/>
      </rPr>
      <t xml:space="preserve">Córdoba (17):  San Andrés de Sotavento, Chinú, Lorica, Montelibano, Cerete, Montería, Ayapel, Moñitos, Canalete, Planeta Rica, Pueblo Nuevo, San Pelayo, San Antero, Tuchin, Chima, Los Córdobas, Puerto Escondido.
Antioquia (12):  Amaga, Anorí, Anza, Don Matías, Ebejico, Fredonia, Giraldo, Mutata, Salgar, Sopetran, Támesis, Yolombó.
Putumayo (7): Mocoa, Orito, Puerto Leguizamo, San Francisco, Santiago, Sibundoy, Puerto Asís.
Cundinamarca (53): Bogota D.C., Bojaca, Cachipay, Carmen De Carupa, Chaguani, Cogua, Cota, El Colegio, El Rosal, Fomeque, Gachala, Gama, Girardot, Guaduas, Guasca, Guayabal De Siquima, Guayabetal, Gutierrez, La Palma, Madrid, Medina, Mosquera, Nimaima, Nocaima, Pacho, Paime, Paratebueno, Pasca, Puli, Quipile, San Antonio Del Tequendama, San Francisco, San Juan De Rioseco, Sibate, Silvania, Simijaca, Subachoque, Supata, Tabio, Tausa, Tenjo, Tibacuy, Tibirita, Tocaima, Tocancipa, Topaipi, Ubala, Une, Venecia, Viani, Villeta, Zipacon, Zipaquira.
Nariño (29): Arboleda (Berruecos), Chachagui, Colon (Genova), Consaca, Contadero, Cuaspud (Carlosama), Cumbitata, El Charco, El Tablon De Gomez, Funes, Guachucal, Iles, Imues, La Florida, La Tola, Linares, Mallama (Piedrancha), Narino, Pasto, Policarpa, Potosi, Puerres, Ricaurte, Roberto Payan (San Jose), San Bernardo, Sandona, Santa Barbara (Iscuande), Tangua, Tuquerres.
</t>
    </r>
    <r>
      <rPr>
        <b/>
        <sz val="13"/>
        <rFont val="Book Antiqua"/>
        <family val="1"/>
      </rPr>
      <t xml:space="preserve">
</t>
    </r>
  </si>
  <si>
    <r>
      <t xml:space="preserve">En el periodo comprendido entre Enero a Diciembre (2016), la Subdirección de Proyectos de la Dirección de Programas ha  realizado  acompañamiento técnico a diferentes Entidades Territoriales encargadas de la formulación de proyectos del sector de agua potable y saneamiento básico, con el fin de agilizar la presentación de proyectos y que éstos cumplan con los requisitos de la normativa vigente, que potencialmente podrían ser financiados con recursos 2016 y otros esquemas. </t>
    </r>
    <r>
      <rPr>
        <b/>
        <sz val="18"/>
        <color indexed="8"/>
        <rFont val="Book Antiqua"/>
        <family val="1"/>
      </rPr>
      <t>Revisándose  1.000 proyectos</t>
    </r>
    <r>
      <rPr>
        <sz val="18"/>
        <color indexed="8"/>
        <rFont val="Book Antiqua"/>
        <family val="1"/>
      </rPr>
      <t xml:space="preserve"> p</t>
    </r>
    <r>
      <rPr>
        <sz val="18"/>
        <rFont val="Book Antiqua"/>
        <family val="1"/>
      </rPr>
      <t xml:space="preserve">rogramados.                                                                                             
</t>
    </r>
  </si>
  <si>
    <r>
      <t>En el periodo de la vigencia 2016, s</t>
    </r>
    <r>
      <rPr>
        <b/>
        <sz val="18"/>
        <color indexed="8"/>
        <rFont val="Book Antiqua"/>
        <family val="1"/>
      </rPr>
      <t>e han realizado 450 asistencias técnicas</t>
    </r>
    <r>
      <rPr>
        <sz val="18"/>
        <color indexed="8"/>
        <rFont val="Book Antiqua"/>
        <family val="1"/>
      </rPr>
      <t xml:space="preserve"> a nivel nacional relacionadas con la socialización del mecanismo de viabilización de los proyectos del sector de agua potable y saneamiento básico,  de las  450  programadas.
Esta asistencia brindada por el MVCT le ha permitido a las entidades territoriales adquirir solidez en la formulación y maduración de los proyectos que se presentan para ser financiados y ha brindado mayores niveles de transparencia y confianza en el proceso.
</t>
    </r>
    <r>
      <rPr>
        <sz val="18"/>
        <rFont val="Book Antiqua"/>
        <family val="1"/>
      </rPr>
      <t xml:space="preserve">  
</t>
    </r>
  </si>
  <si>
    <t xml:space="preserve">El avance en la implementación del PAAC de la vigencia 2016 se hace teniendo en cuenta el monitoreo realizado por la Oficina Asesora de Planeación - OAP. Con corte a 31 de diciembre de 2016, el Plan cumplió con un 100% de las actividades. 
</t>
  </si>
  <si>
    <t>El Ministerio de Vivienda para el cuarto trimestre cumplió con el pago de sus respectivas obligaciones de acuerdo a los soportes presentados en la Subdireccion de Finanzas y Presupuesto, tanto para el Ministerio de Vivienda, Ciudad y Territorio como para el Fondo Nacional de Vivienda – FONVIVIENDA.
Con corte a Diciembre 31 de 2016 el indicador de ejecución de PAC acumulado de las dos entidades al cuarto trimestre alcanzó el 91,27% superando la meta establecida del 90%.</t>
  </si>
  <si>
    <r>
      <t xml:space="preserve">Iniciar </t>
    </r>
    <r>
      <rPr>
        <b/>
        <sz val="18"/>
        <rFont val="Book Antiqua"/>
        <family val="1"/>
      </rPr>
      <t>9.000</t>
    </r>
    <r>
      <rPr>
        <sz val="18"/>
        <rFont val="Book Antiqua"/>
        <family val="1"/>
      </rPr>
      <t xml:space="preserve"> viviendas de interés prioritario en el programa de vivienda </t>
    </r>
    <r>
      <rPr>
        <b/>
        <sz val="18"/>
        <rFont val="Book Antiqua"/>
        <family val="1"/>
      </rPr>
      <t>VIPA</t>
    </r>
  </si>
  <si>
    <t xml:space="preserve">Porcentaje de Ejecución total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</si>
</sst>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0%"/>
    <numFmt numFmtId="166" formatCode="0.0"/>
  </numFmts>
  <fonts count="101">
    <font>
      <sz val="11"/>
      <color theme="1"/>
      <name val="Calibri"/>
      <family val="2"/>
    </font>
    <font>
      <sz val="11"/>
      <color indexed="8"/>
      <name val="Calibri"/>
      <family val="2"/>
    </font>
    <font>
      <sz val="11"/>
      <color indexed="8"/>
      <name val="Book Antiqua"/>
      <family val="1"/>
    </font>
    <font>
      <sz val="11"/>
      <name val="Book Antiqua"/>
      <family val="1"/>
    </font>
    <font>
      <b/>
      <sz val="16"/>
      <color indexed="8"/>
      <name val="Book Antiqua"/>
      <family val="1"/>
    </font>
    <font>
      <sz val="12"/>
      <color indexed="8"/>
      <name val="Book Antiqua"/>
      <family val="1"/>
    </font>
    <font>
      <sz val="10"/>
      <name val="Arial"/>
      <family val="2"/>
    </font>
    <font>
      <b/>
      <sz val="12"/>
      <name val="Book Antiqua"/>
      <family val="1"/>
    </font>
    <font>
      <sz val="12"/>
      <name val="Book Antiqua"/>
      <family val="1"/>
    </font>
    <font>
      <b/>
      <sz val="16"/>
      <name val="Book Antiqua"/>
      <family val="1"/>
    </font>
    <font>
      <sz val="16"/>
      <color indexed="8"/>
      <name val="Book Antiqua"/>
      <family val="1"/>
    </font>
    <font>
      <b/>
      <sz val="14"/>
      <name val="Book Antiqua"/>
      <family val="1"/>
    </font>
    <font>
      <b/>
      <sz val="18"/>
      <name val="Book Antiqua"/>
      <family val="1"/>
    </font>
    <font>
      <sz val="14"/>
      <name val="Book Antiqua"/>
      <family val="1"/>
    </font>
    <font>
      <sz val="14"/>
      <color indexed="8"/>
      <name val="Book Antiqua"/>
      <family val="1"/>
    </font>
    <font>
      <b/>
      <sz val="18"/>
      <color indexed="8"/>
      <name val="Book Antiqua"/>
      <family val="1"/>
    </font>
    <font>
      <b/>
      <sz val="20"/>
      <color indexed="8"/>
      <name val="Book Antiqua"/>
      <family val="1"/>
    </font>
    <font>
      <b/>
      <sz val="22"/>
      <name val="Book Antiqua"/>
      <family val="1"/>
    </font>
    <font>
      <sz val="18"/>
      <name val="Book Antiqua"/>
      <family val="1"/>
    </font>
    <font>
      <sz val="18"/>
      <color indexed="8"/>
      <name val="Book Antiqua"/>
      <family val="1"/>
    </font>
    <font>
      <sz val="15"/>
      <name val="Book Antiqua"/>
      <family val="1"/>
    </font>
    <font>
      <b/>
      <sz val="15"/>
      <name val="Book Antiqua"/>
      <family val="1"/>
    </font>
    <font>
      <sz val="15"/>
      <color indexed="8"/>
      <name val="Book Antiqua"/>
      <family val="1"/>
    </font>
    <font>
      <b/>
      <sz val="15"/>
      <color indexed="8"/>
      <name val="Book Antiqua"/>
      <family val="1"/>
    </font>
    <font>
      <b/>
      <sz val="14"/>
      <color indexed="8"/>
      <name val="Book Antiqua"/>
      <family val="1"/>
    </font>
    <font>
      <sz val="16"/>
      <name val="Book Antiqua"/>
      <family val="1"/>
    </font>
    <font>
      <b/>
      <sz val="26"/>
      <name val="Book Antiqua"/>
      <family val="1"/>
    </font>
    <font>
      <sz val="17"/>
      <color indexed="8"/>
      <name val="Book Antiqua"/>
      <family val="1"/>
    </font>
    <font>
      <b/>
      <sz val="17"/>
      <color indexed="8"/>
      <name val="Book Antiqua"/>
      <family val="1"/>
    </font>
    <font>
      <i/>
      <sz val="16"/>
      <color indexed="8"/>
      <name val="Book Antiqua"/>
      <family val="1"/>
    </font>
    <font>
      <sz val="13"/>
      <color indexed="8"/>
      <name val="Book Antiqua"/>
      <family val="1"/>
    </font>
    <font>
      <b/>
      <sz val="13"/>
      <color indexed="8"/>
      <name val="Book Antiqua"/>
      <family val="1"/>
    </font>
    <font>
      <sz val="20"/>
      <color indexed="8"/>
      <name val="Book Antiqua"/>
      <family val="1"/>
    </font>
    <font>
      <b/>
      <sz val="20"/>
      <name val="Book Antiqua"/>
      <family val="1"/>
    </font>
    <font>
      <sz val="20"/>
      <name val="Book Antiqua"/>
      <family val="1"/>
    </font>
    <font>
      <b/>
      <sz val="11"/>
      <color indexed="8"/>
      <name val="Book Antiqua"/>
      <family val="1"/>
    </font>
    <font>
      <b/>
      <sz val="13"/>
      <name val="Book Antiqua"/>
      <family val="1"/>
    </font>
    <font>
      <sz val="13"/>
      <name val="Book Antiqua"/>
      <family val="1"/>
    </font>
    <font>
      <sz val="26"/>
      <color indexed="8"/>
      <name val="Book Antiqua"/>
      <family val="1"/>
    </font>
    <font>
      <b/>
      <sz val="26"/>
      <color indexed="40"/>
      <name val="Book Antiqua"/>
      <family val="1"/>
    </font>
    <font>
      <b/>
      <sz val="22"/>
      <color indexed="8"/>
      <name val="Book Antiqua"/>
      <family val="1"/>
    </font>
    <font>
      <b/>
      <sz val="26"/>
      <color indexed="10"/>
      <name val="Book Antiqua"/>
      <family val="1"/>
    </font>
    <font>
      <b/>
      <sz val="26"/>
      <color indexed="8"/>
      <name val="Book Antiqua"/>
      <family val="1"/>
    </font>
    <font>
      <b/>
      <sz val="26"/>
      <color indexed="17"/>
      <name val="Book Antiqua"/>
      <family val="1"/>
    </font>
    <font>
      <b/>
      <sz val="26"/>
      <color indexed="16"/>
      <name val="Book Antiqua"/>
      <family val="1"/>
    </font>
    <font>
      <b/>
      <sz val="26"/>
      <color indexed="60"/>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Book Antiqua"/>
      <family val="1"/>
    </font>
    <font>
      <sz val="15"/>
      <color theme="1"/>
      <name val="Book Antiqua"/>
      <family val="1"/>
    </font>
    <font>
      <b/>
      <sz val="15"/>
      <color theme="1"/>
      <name val="Book Antiqua"/>
      <family val="1"/>
    </font>
    <font>
      <sz val="18"/>
      <color theme="1"/>
      <name val="Book Antiqua"/>
      <family val="1"/>
    </font>
    <font>
      <sz val="16"/>
      <color theme="1"/>
      <name val="Book Antiqua"/>
      <family val="1"/>
    </font>
    <font>
      <sz val="26"/>
      <color theme="1"/>
      <name val="Book Antiqua"/>
      <family val="1"/>
    </font>
    <font>
      <sz val="17"/>
      <color theme="1"/>
      <name val="Book Antiqua"/>
      <family val="1"/>
    </font>
    <font>
      <b/>
      <sz val="26"/>
      <color rgb="FF00B0F0"/>
      <name val="Book Antiqua"/>
      <family val="1"/>
    </font>
    <font>
      <sz val="20"/>
      <color theme="1"/>
      <name val="Book Antiqua"/>
      <family val="1"/>
    </font>
    <font>
      <sz val="14"/>
      <color theme="1"/>
      <name val="Book Antiqua"/>
      <family val="1"/>
    </font>
    <font>
      <sz val="12"/>
      <color theme="1"/>
      <name val="Book Antiqua"/>
      <family val="1"/>
    </font>
    <font>
      <b/>
      <sz val="22"/>
      <color theme="1"/>
      <name val="Book Antiqua"/>
      <family val="1"/>
    </font>
    <font>
      <sz val="13"/>
      <color theme="1"/>
      <name val="Book Antiqua"/>
      <family val="1"/>
    </font>
    <font>
      <b/>
      <sz val="18"/>
      <color theme="1"/>
      <name val="Book Antiqua"/>
      <family val="1"/>
    </font>
    <font>
      <b/>
      <sz val="26"/>
      <color theme="9" tint="-0.4999699890613556"/>
      <name val="Book Antiqua"/>
      <family val="1"/>
    </font>
    <font>
      <b/>
      <sz val="20"/>
      <color theme="1"/>
      <name val="Book Antiqua"/>
      <family val="1"/>
    </font>
    <font>
      <b/>
      <sz val="26"/>
      <color theme="1"/>
      <name val="Book Antiqua"/>
      <family val="1"/>
    </font>
    <font>
      <b/>
      <sz val="16"/>
      <color theme="1"/>
      <name val="Book Antiqua"/>
      <family val="1"/>
    </font>
    <font>
      <b/>
      <sz val="26"/>
      <color rgb="FF00B050"/>
      <name val="Book Antiqua"/>
      <family val="1"/>
    </font>
    <font>
      <b/>
      <sz val="26"/>
      <color theme="5" tint="-0.4999699890613556"/>
      <name val="Book Antiqua"/>
      <family val="1"/>
    </font>
    <font>
      <b/>
      <sz val="26"/>
      <color rgb="FFFF0000"/>
      <name val="Book Antiqu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right/>
      <top style="thin"/>
      <bottom style="thin"/>
    </border>
    <border>
      <left style="thin"/>
      <right style="thin"/>
      <top style="thin"/>
      <bottom/>
    </border>
    <border>
      <left style="thin"/>
      <right style="medium"/>
      <top style="thin"/>
      <bottom/>
    </border>
    <border>
      <left/>
      <right/>
      <top/>
      <bottom style="thin"/>
    </border>
    <border>
      <left/>
      <right/>
      <top style="thin"/>
      <bottom style="medium"/>
    </border>
    <border>
      <left style="thin"/>
      <right style="medium"/>
      <top style="medium"/>
      <bottom/>
    </border>
    <border>
      <left style="medium"/>
      <right/>
      <top style="medium"/>
      <bottom/>
    </border>
    <border>
      <left style="medium"/>
      <right/>
      <top style="thin"/>
      <bottom style="thin"/>
    </border>
    <border>
      <left style="thin"/>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right style="medium"/>
      <top style="thin"/>
      <bottom/>
    </border>
    <border>
      <left/>
      <right style="medium"/>
      <top style="thin"/>
      <bottom style="medium"/>
    </border>
    <border>
      <left/>
      <right style="medium"/>
      <top style="medium"/>
      <bottom style="medium"/>
    </border>
    <border>
      <left/>
      <right style="medium"/>
      <top style="thin"/>
      <bottom style="thin"/>
    </border>
    <border>
      <left style="thin"/>
      <right style="thin"/>
      <top style="medium"/>
      <bottom/>
    </border>
    <border>
      <left/>
      <right style="thin"/>
      <top/>
      <bottom style="thin"/>
    </border>
    <border>
      <left style="medium"/>
      <right style="thin"/>
      <top style="thin"/>
      <bottom style="medium"/>
    </border>
    <border>
      <left/>
      <right style="thin"/>
      <top style="medium"/>
      <bottom/>
    </border>
    <border>
      <left/>
      <right style="thin"/>
      <top style="medium"/>
      <bottom style="thin"/>
    </border>
    <border>
      <left style="thin"/>
      <right style="medium"/>
      <top/>
      <bottom style="thin"/>
    </border>
    <border>
      <left/>
      <right style="thin"/>
      <top style="thin"/>
      <bottom style="thin"/>
    </border>
    <border>
      <left style="thin"/>
      <right style="thin"/>
      <top/>
      <bottom style="medium"/>
    </border>
    <border>
      <left style="thin"/>
      <right/>
      <top style="thin"/>
      <bottom/>
    </border>
    <border>
      <left style="thin"/>
      <right/>
      <top/>
      <bottom/>
    </border>
    <border>
      <left style="thin"/>
      <right/>
      <top/>
      <bottom style="thin"/>
    </border>
    <border>
      <left style="thin"/>
      <right/>
      <top style="thin"/>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top/>
      <bottom style="medium"/>
    </border>
    <border>
      <left style="thin"/>
      <right/>
      <top/>
      <bottom style="medium"/>
    </border>
    <border>
      <left style="thin"/>
      <right/>
      <top style="thin"/>
      <bottom style="medium"/>
    </border>
    <border>
      <left/>
      <right style="medium"/>
      <top style="medium"/>
      <bottom/>
    </border>
    <border>
      <left/>
      <right style="medium"/>
      <top/>
      <bottom/>
    </border>
    <border>
      <left/>
      <right style="medium"/>
      <top/>
      <bottom style="medium"/>
    </border>
    <border>
      <left style="medium"/>
      <right/>
      <top style="medium"/>
      <bottom style="thin"/>
    </border>
    <border>
      <left style="medium"/>
      <right/>
      <top style="thin"/>
      <bottom style="medium"/>
    </border>
    <border>
      <left style="medium"/>
      <right/>
      <top style="thin"/>
      <bottom/>
    </border>
    <border>
      <left style="medium"/>
      <right/>
      <top/>
      <bottom style="thin"/>
    </border>
    <border>
      <left/>
      <right/>
      <top style="medium"/>
      <bottom/>
    </border>
    <border>
      <left style="thin"/>
      <right style="thin"/>
      <top/>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29">
    <xf numFmtId="0" fontId="0" fillId="0" borderId="0" xfId="0" applyFont="1" applyAlignment="1">
      <alignment/>
    </xf>
    <xf numFmtId="0" fontId="80" fillId="0" borderId="0" xfId="0" applyFont="1" applyAlignment="1">
      <alignment/>
    </xf>
    <xf numFmtId="0" fontId="80" fillId="0" borderId="0" xfId="0" applyFont="1" applyAlignment="1">
      <alignment horizontal="left" vertical="center"/>
    </xf>
    <xf numFmtId="0" fontId="80" fillId="0" borderId="0" xfId="0" applyFont="1" applyAlignment="1">
      <alignment horizontal="center" vertical="center"/>
    </xf>
    <xf numFmtId="0" fontId="80" fillId="0" borderId="0" xfId="0" applyFont="1" applyAlignment="1">
      <alignment/>
    </xf>
    <xf numFmtId="0" fontId="80" fillId="0" borderId="0" xfId="0" applyFont="1" applyAlignment="1">
      <alignment horizontal="center"/>
    </xf>
    <xf numFmtId="0" fontId="81" fillId="13" borderId="10" xfId="0" applyFont="1" applyFill="1" applyBorder="1" applyAlignment="1">
      <alignment horizontal="left" vertical="center" wrapText="1"/>
    </xf>
    <xf numFmtId="0" fontId="82" fillId="13" borderId="10" xfId="0" applyFont="1" applyFill="1" applyBorder="1" applyAlignment="1">
      <alignment horizontal="left" vertical="center" wrapText="1"/>
    </xf>
    <xf numFmtId="0" fontId="81" fillId="13" borderId="10" xfId="0" applyFont="1" applyFill="1" applyBorder="1" applyAlignment="1">
      <alignment horizontal="left" vertical="top" wrapText="1"/>
    </xf>
    <xf numFmtId="0" fontId="82" fillId="13" borderId="10" xfId="0" applyFont="1" applyFill="1" applyBorder="1" applyAlignment="1">
      <alignment horizontal="left" vertical="top" wrapText="1"/>
    </xf>
    <xf numFmtId="0" fontId="81" fillId="10" borderId="11" xfId="0" applyFont="1" applyFill="1" applyBorder="1" applyAlignment="1">
      <alignment vertical="top" wrapText="1"/>
    </xf>
    <xf numFmtId="0" fontId="82" fillId="10" borderId="10" xfId="0" applyFont="1" applyFill="1" applyBorder="1" applyAlignment="1">
      <alignment vertical="top" wrapText="1"/>
    </xf>
    <xf numFmtId="0" fontId="82" fillId="3" borderId="10" xfId="0" applyFont="1" applyFill="1" applyBorder="1" applyAlignment="1">
      <alignment horizontal="left" vertical="top" wrapText="1"/>
    </xf>
    <xf numFmtId="0" fontId="81" fillId="3" borderId="10" xfId="0" applyFont="1" applyFill="1" applyBorder="1" applyAlignment="1">
      <alignment horizontal="left" vertical="top" wrapText="1"/>
    </xf>
    <xf numFmtId="0" fontId="82" fillId="3" borderId="10" xfId="0" applyFont="1" applyFill="1" applyBorder="1" applyAlignment="1">
      <alignment horizontal="left" vertical="center" wrapText="1"/>
    </xf>
    <xf numFmtId="0" fontId="82" fillId="33" borderId="10"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3" fillId="3" borderId="10" xfId="0" applyFont="1" applyFill="1" applyBorder="1" applyAlignment="1">
      <alignment horizontal="left" vertical="center" wrapText="1"/>
    </xf>
    <xf numFmtId="0" fontId="83" fillId="13" borderId="10" xfId="0" applyFont="1" applyFill="1" applyBorder="1" applyAlignment="1">
      <alignment horizontal="left" vertical="center" wrapText="1"/>
    </xf>
    <xf numFmtId="0" fontId="84" fillId="13" borderId="10" xfId="0" applyFont="1" applyFill="1" applyBorder="1" applyAlignment="1">
      <alignment horizontal="left" vertical="center" wrapText="1"/>
    </xf>
    <xf numFmtId="0" fontId="83" fillId="10" borderId="10" xfId="0" applyFont="1" applyFill="1" applyBorder="1" applyAlignment="1">
      <alignment horizontal="left" vertical="center" wrapText="1"/>
    </xf>
    <xf numFmtId="0" fontId="84" fillId="3" borderId="10" xfId="0" applyFont="1" applyFill="1" applyBorder="1" applyAlignment="1">
      <alignment horizontal="left" vertical="center" wrapText="1"/>
    </xf>
    <xf numFmtId="0" fontId="84" fillId="33" borderId="10" xfId="0" applyFont="1" applyFill="1" applyBorder="1" applyAlignment="1">
      <alignment horizontal="left" vertical="center" wrapText="1"/>
    </xf>
    <xf numFmtId="9" fontId="84" fillId="13" borderId="10" xfId="0" applyNumberFormat="1" applyFont="1" applyFill="1" applyBorder="1" applyAlignment="1">
      <alignment horizontal="left" vertical="center" wrapText="1"/>
    </xf>
    <xf numFmtId="0" fontId="84" fillId="10" borderId="10" xfId="0" applyFont="1" applyFill="1" applyBorder="1" applyAlignment="1">
      <alignment horizontal="left" vertical="center" wrapText="1"/>
    </xf>
    <xf numFmtId="0" fontId="84" fillId="13" borderId="10" xfId="0" applyFont="1" applyFill="1" applyBorder="1" applyAlignment="1">
      <alignment horizontal="left" vertical="top" wrapText="1"/>
    </xf>
    <xf numFmtId="0" fontId="83" fillId="13" borderId="10" xfId="0" applyFont="1" applyFill="1" applyBorder="1" applyAlignment="1">
      <alignment horizontal="left" vertical="top" wrapText="1"/>
    </xf>
    <xf numFmtId="0" fontId="84" fillId="3" borderId="10" xfId="0" applyFont="1" applyFill="1" applyBorder="1" applyAlignment="1">
      <alignment horizontal="left" vertical="top" wrapText="1"/>
    </xf>
    <xf numFmtId="0" fontId="84" fillId="33" borderId="10" xfId="0" applyFont="1" applyFill="1" applyBorder="1" applyAlignment="1">
      <alignment horizontal="left" vertical="top" wrapText="1"/>
    </xf>
    <xf numFmtId="0" fontId="81" fillId="13" borderId="11" xfId="0" applyFont="1" applyFill="1" applyBorder="1" applyAlignment="1">
      <alignment horizontal="left" vertical="center" wrapText="1"/>
    </xf>
    <xf numFmtId="0" fontId="83" fillId="13" borderId="11" xfId="0" applyFont="1" applyFill="1" applyBorder="1" applyAlignment="1">
      <alignment horizontal="left" vertical="center" wrapText="1"/>
    </xf>
    <xf numFmtId="0" fontId="85" fillId="0" borderId="0" xfId="0" applyFont="1" applyAlignment="1">
      <alignment horizontal="center" vertical="top"/>
    </xf>
    <xf numFmtId="0" fontId="3" fillId="34" borderId="13" xfId="0" applyFont="1" applyFill="1" applyBorder="1" applyAlignment="1">
      <alignment horizontal="center" vertical="center" wrapText="1"/>
    </xf>
    <xf numFmtId="164" fontId="9" fillId="0" borderId="14" xfId="47" applyNumberFormat="1" applyFont="1" applyFill="1" applyBorder="1" applyAlignment="1">
      <alignment horizontal="center" vertical="center" wrapText="1"/>
    </xf>
    <xf numFmtId="164" fontId="7" fillId="0" borderId="14" xfId="47" applyNumberFormat="1" applyFont="1" applyFill="1" applyBorder="1" applyAlignment="1">
      <alignment horizontal="center" vertical="center" wrapText="1"/>
    </xf>
    <xf numFmtId="164" fontId="7" fillId="0" borderId="15" xfId="47" applyNumberFormat="1" applyFont="1" applyFill="1" applyBorder="1" applyAlignment="1">
      <alignment horizontal="center" vertical="center" wrapText="1"/>
    </xf>
    <xf numFmtId="0" fontId="80" fillId="34" borderId="13" xfId="0" applyFont="1" applyFill="1" applyBorder="1" applyAlignment="1">
      <alignment horizontal="center" vertical="center"/>
    </xf>
    <xf numFmtId="0" fontId="80" fillId="34" borderId="1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82" fillId="13" borderId="14" xfId="0" applyFont="1" applyFill="1" applyBorder="1" applyAlignment="1">
      <alignment horizontal="left" vertical="top" wrapText="1"/>
    </xf>
    <xf numFmtId="0" fontId="81" fillId="3" borderId="11" xfId="0" applyFont="1" applyFill="1" applyBorder="1" applyAlignment="1">
      <alignment horizontal="left" vertical="top" wrapText="1"/>
    </xf>
    <xf numFmtId="9" fontId="83" fillId="3" borderId="11" xfId="0" applyNumberFormat="1" applyFont="1" applyFill="1" applyBorder="1" applyAlignment="1">
      <alignment horizontal="left" vertical="center" wrapText="1"/>
    </xf>
    <xf numFmtId="0" fontId="84" fillId="33" borderId="12" xfId="0" applyFont="1" applyFill="1" applyBorder="1" applyAlignment="1">
      <alignment horizontal="left" vertical="center" wrapText="1"/>
    </xf>
    <xf numFmtId="0" fontId="81" fillId="33" borderId="11" xfId="0" applyFont="1" applyFill="1" applyBorder="1" applyAlignment="1">
      <alignment horizontal="left" vertical="center" wrapText="1"/>
    </xf>
    <xf numFmtId="0" fontId="86" fillId="33" borderId="11" xfId="0" applyFont="1" applyFill="1" applyBorder="1" applyAlignment="1">
      <alignment vertical="center" wrapText="1"/>
    </xf>
    <xf numFmtId="9" fontId="81" fillId="10" borderId="11" xfId="0" applyNumberFormat="1" applyFont="1" applyFill="1" applyBorder="1" applyAlignment="1">
      <alignment vertical="center" wrapText="1"/>
    </xf>
    <xf numFmtId="9" fontId="11" fillId="0" borderId="18" xfId="54" applyFont="1" applyFill="1" applyBorder="1" applyAlignment="1">
      <alignment horizontal="center" vertical="center" wrapText="1"/>
    </xf>
    <xf numFmtId="0" fontId="85" fillId="0" borderId="19" xfId="0" applyFont="1" applyBorder="1" applyAlignment="1">
      <alignment horizontal="center" vertical="top"/>
    </xf>
    <xf numFmtId="0" fontId="87" fillId="0" borderId="20" xfId="0" applyFont="1" applyBorder="1" applyAlignment="1">
      <alignment horizontal="center" vertical="top"/>
    </xf>
    <xf numFmtId="0" fontId="18" fillId="34" borderId="19" xfId="0" applyFont="1" applyFill="1" applyBorder="1" applyAlignment="1">
      <alignment horizontal="left" vertical="center" wrapText="1"/>
    </xf>
    <xf numFmtId="9" fontId="18" fillId="34" borderId="21" xfId="0" applyNumberFormat="1" applyFont="1" applyFill="1" applyBorder="1" applyAlignment="1">
      <alignment horizontal="center" vertical="center" wrapText="1"/>
    </xf>
    <xf numFmtId="0" fontId="83" fillId="13" borderId="22" xfId="0" applyFont="1" applyFill="1" applyBorder="1" applyAlignment="1">
      <alignment horizontal="left" vertical="center" wrapText="1"/>
    </xf>
    <xf numFmtId="0" fontId="83" fillId="13" borderId="23" xfId="0" applyFont="1" applyFill="1" applyBorder="1" applyAlignment="1">
      <alignment horizontal="left" vertical="center" wrapText="1"/>
    </xf>
    <xf numFmtId="0" fontId="84" fillId="3" borderId="14" xfId="0" applyFont="1" applyFill="1" applyBorder="1" applyAlignment="1">
      <alignment horizontal="left" vertical="center" wrapText="1"/>
    </xf>
    <xf numFmtId="0" fontId="82" fillId="3" borderId="14" xfId="0" applyFont="1" applyFill="1" applyBorder="1" applyAlignment="1">
      <alignment horizontal="left" vertical="center" wrapText="1"/>
    </xf>
    <xf numFmtId="9" fontId="83" fillId="3" borderId="22" xfId="0" applyNumberFormat="1" applyFont="1" applyFill="1" applyBorder="1" applyAlignment="1">
      <alignment horizontal="left" vertical="center" wrapText="1"/>
    </xf>
    <xf numFmtId="9" fontId="88" fillId="13" borderId="23" xfId="0" applyNumberFormat="1" applyFont="1" applyFill="1" applyBorder="1" applyAlignment="1">
      <alignment horizontal="left" vertical="center" wrapText="1"/>
    </xf>
    <xf numFmtId="0" fontId="83" fillId="13" borderId="14" xfId="0" applyFont="1" applyFill="1" applyBorder="1" applyAlignment="1">
      <alignment horizontal="left" vertical="center" wrapText="1"/>
    </xf>
    <xf numFmtId="0" fontId="83" fillId="10" borderId="14" xfId="0" applyFont="1" applyFill="1" applyBorder="1" applyAlignment="1">
      <alignment horizontal="left" vertical="center" wrapText="1"/>
    </xf>
    <xf numFmtId="0" fontId="83" fillId="10" borderId="15" xfId="0" applyFont="1" applyFill="1" applyBorder="1" applyAlignment="1">
      <alignment vertical="center" wrapText="1"/>
    </xf>
    <xf numFmtId="0" fontId="83" fillId="10" borderId="23" xfId="0" applyFont="1" applyFill="1" applyBorder="1" applyAlignment="1">
      <alignment vertical="center" wrapText="1"/>
    </xf>
    <xf numFmtId="9" fontId="83" fillId="3" borderId="23" xfId="0" applyNumberFormat="1" applyFont="1" applyFill="1" applyBorder="1" applyAlignment="1">
      <alignment horizontal="left" vertical="center" wrapText="1"/>
    </xf>
    <xf numFmtId="9" fontId="83" fillId="3" borderId="15" xfId="0" applyNumberFormat="1" applyFont="1" applyFill="1" applyBorder="1" applyAlignment="1">
      <alignment horizontal="left" vertical="center" wrapText="1"/>
    </xf>
    <xf numFmtId="0" fontId="86" fillId="33" borderId="23" xfId="0" applyFont="1" applyFill="1" applyBorder="1" applyAlignment="1">
      <alignment vertical="center" wrapText="1"/>
    </xf>
    <xf numFmtId="0" fontId="83" fillId="33" borderId="23" xfId="0" applyFont="1" applyFill="1" applyBorder="1" applyAlignment="1">
      <alignment vertical="center" wrapText="1"/>
    </xf>
    <xf numFmtId="9" fontId="83" fillId="33" borderId="24" xfId="0" applyNumberFormat="1" applyFont="1" applyFill="1" applyBorder="1" applyAlignment="1">
      <alignment horizontal="left" vertical="center" wrapText="1"/>
    </xf>
    <xf numFmtId="9" fontId="83" fillId="33" borderId="23" xfId="0" applyNumberFormat="1" applyFont="1" applyFill="1" applyBorder="1" applyAlignment="1">
      <alignment horizontal="left" vertical="center" wrapText="1"/>
    </xf>
    <xf numFmtId="164" fontId="11" fillId="0" borderId="14" xfId="47" applyNumberFormat="1" applyFont="1" applyFill="1" applyBorder="1" applyAlignment="1">
      <alignment horizontal="center" vertical="center" wrapText="1"/>
    </xf>
    <xf numFmtId="165" fontId="17" fillId="13" borderId="11" xfId="54" applyNumberFormat="1" applyFont="1" applyFill="1" applyBorder="1" applyAlignment="1">
      <alignment horizontal="center" vertical="center" wrapText="1"/>
    </xf>
    <xf numFmtId="165" fontId="17" fillId="13" borderId="10" xfId="54" applyNumberFormat="1" applyFont="1" applyFill="1" applyBorder="1" applyAlignment="1">
      <alignment horizontal="center" vertical="center" wrapText="1"/>
    </xf>
    <xf numFmtId="10" fontId="17" fillId="13" borderId="10" xfId="54" applyNumberFormat="1" applyFont="1" applyFill="1" applyBorder="1" applyAlignment="1">
      <alignment horizontal="center" vertical="center" wrapText="1"/>
    </xf>
    <xf numFmtId="165" fontId="17" fillId="10" borderId="11" xfId="54" applyNumberFormat="1" applyFont="1" applyFill="1" applyBorder="1" applyAlignment="1">
      <alignment horizontal="center" vertical="center" wrapText="1"/>
    </xf>
    <xf numFmtId="165" fontId="17" fillId="10" borderId="10" xfId="54" applyNumberFormat="1" applyFont="1" applyFill="1" applyBorder="1" applyAlignment="1">
      <alignment horizontal="center" vertical="center" wrapText="1"/>
    </xf>
    <xf numFmtId="165" fontId="17" fillId="3" borderId="11" xfId="54" applyNumberFormat="1" applyFont="1" applyFill="1" applyBorder="1" applyAlignment="1">
      <alignment horizontal="center" vertical="center" wrapText="1"/>
    </xf>
    <xf numFmtId="165" fontId="17" fillId="3" borderId="10" xfId="54" applyNumberFormat="1" applyFont="1" applyFill="1" applyBorder="1" applyAlignment="1">
      <alignment horizontal="center" vertical="center" wrapText="1"/>
    </xf>
    <xf numFmtId="165" fontId="17" fillId="3" borderId="14" xfId="54" applyNumberFormat="1" applyFont="1" applyFill="1" applyBorder="1" applyAlignment="1">
      <alignment horizontal="center" vertical="center" wrapText="1"/>
    </xf>
    <xf numFmtId="165" fontId="17" fillId="33" borderId="11" xfId="54" applyNumberFormat="1" applyFont="1" applyFill="1" applyBorder="1" applyAlignment="1">
      <alignment horizontal="center" vertical="center" wrapText="1"/>
    </xf>
    <xf numFmtId="165" fontId="17" fillId="33" borderId="10" xfId="54" applyNumberFormat="1" applyFont="1" applyFill="1" applyBorder="1" applyAlignment="1">
      <alignment horizontal="center" vertical="center" wrapText="1"/>
    </xf>
    <xf numFmtId="165" fontId="17" fillId="33" borderId="12" xfId="54" applyNumberFormat="1" applyFont="1" applyFill="1" applyBorder="1" applyAlignment="1">
      <alignment horizontal="center" vertical="center" wrapText="1"/>
    </xf>
    <xf numFmtId="9" fontId="88" fillId="13" borderId="10" xfId="0" applyNumberFormat="1" applyFont="1" applyFill="1" applyBorder="1" applyAlignment="1">
      <alignment horizontal="left" vertical="center" wrapText="1"/>
    </xf>
    <xf numFmtId="9" fontId="83" fillId="13" borderId="10" xfId="0" applyNumberFormat="1" applyFont="1" applyFill="1" applyBorder="1" applyAlignment="1">
      <alignment horizontal="left" vertical="center" wrapText="1"/>
    </xf>
    <xf numFmtId="9" fontId="83" fillId="3" borderId="10" xfId="0" applyNumberFormat="1" applyFont="1" applyFill="1" applyBorder="1" applyAlignment="1">
      <alignment horizontal="left" vertical="center" wrapText="1"/>
    </xf>
    <xf numFmtId="9" fontId="89" fillId="13" borderId="10" xfId="0" applyNumberFormat="1" applyFont="1" applyFill="1" applyBorder="1" applyAlignment="1">
      <alignment horizontal="left" vertical="top" wrapText="1"/>
    </xf>
    <xf numFmtId="165" fontId="17" fillId="34" borderId="10" xfId="54" applyNumberFormat="1" applyFont="1" applyFill="1" applyBorder="1" applyAlignment="1">
      <alignment horizontal="center" vertical="center" wrapText="1"/>
    </xf>
    <xf numFmtId="9" fontId="83" fillId="33" borderId="10" xfId="0" applyNumberFormat="1" applyFont="1" applyFill="1" applyBorder="1" applyAlignment="1">
      <alignment horizontal="left" vertical="center" wrapText="1"/>
    </xf>
    <xf numFmtId="10" fontId="18" fillId="34" borderId="10" xfId="47" applyNumberFormat="1" applyFont="1" applyFill="1" applyBorder="1" applyAlignment="1">
      <alignment horizontal="left" vertical="center" wrapText="1"/>
    </xf>
    <xf numFmtId="10" fontId="9" fillId="34" borderId="10" xfId="47" applyNumberFormat="1" applyFont="1" applyFill="1" applyBorder="1" applyAlignment="1">
      <alignment horizontal="left" vertical="top" wrapText="1"/>
    </xf>
    <xf numFmtId="10" fontId="9" fillId="34" borderId="10" xfId="47" applyNumberFormat="1" applyFont="1" applyFill="1" applyBorder="1" applyAlignment="1">
      <alignment horizontal="left" vertical="center" wrapText="1"/>
    </xf>
    <xf numFmtId="10" fontId="18" fillId="34" borderId="10" xfId="47" applyNumberFormat="1" applyFont="1" applyFill="1" applyBorder="1" applyAlignment="1">
      <alignment horizontal="justify" vertical="center" wrapText="1"/>
    </xf>
    <xf numFmtId="10" fontId="18" fillId="34" borderId="10" xfId="0" applyNumberFormat="1" applyFont="1" applyFill="1" applyBorder="1" applyAlignment="1">
      <alignment horizontal="left" vertical="center" wrapText="1"/>
    </xf>
    <xf numFmtId="49" fontId="18" fillId="34" borderId="10" xfId="47" applyNumberFormat="1" applyFont="1" applyFill="1" applyBorder="1" applyAlignment="1">
      <alignment horizontal="left" vertical="center" wrapText="1"/>
    </xf>
    <xf numFmtId="0" fontId="18" fillId="34" borderId="19" xfId="0" applyFont="1" applyFill="1" applyBorder="1" applyAlignment="1">
      <alignment horizontal="left" vertical="top" wrapText="1"/>
    </xf>
    <xf numFmtId="165" fontId="17" fillId="34" borderId="11" xfId="54" applyNumberFormat="1" applyFont="1" applyFill="1" applyBorder="1" applyAlignment="1">
      <alignment horizontal="center" vertical="center" wrapText="1"/>
    </xf>
    <xf numFmtId="10" fontId="18" fillId="34" borderId="11" xfId="47" applyNumberFormat="1" applyFont="1" applyFill="1" applyBorder="1" applyAlignment="1">
      <alignment horizontal="left" vertical="center" wrapText="1"/>
    </xf>
    <xf numFmtId="49" fontId="9" fillId="34" borderId="23" xfId="47" applyNumberFormat="1" applyFont="1" applyFill="1" applyBorder="1" applyAlignment="1">
      <alignment horizontal="left" vertical="center" wrapText="1"/>
    </xf>
    <xf numFmtId="0" fontId="83" fillId="34" borderId="23" xfId="0" applyFont="1" applyFill="1" applyBorder="1" applyAlignment="1">
      <alignment horizontal="justify" vertical="center" wrapText="1"/>
    </xf>
    <xf numFmtId="0" fontId="83" fillId="34" borderId="23" xfId="0" applyFont="1" applyFill="1" applyBorder="1" applyAlignment="1">
      <alignment horizontal="left" vertical="center" wrapText="1"/>
    </xf>
    <xf numFmtId="9" fontId="83" fillId="33" borderId="12" xfId="0" applyNumberFormat="1" applyFont="1" applyFill="1" applyBorder="1" applyAlignment="1">
      <alignment horizontal="left" vertical="center" wrapText="1"/>
    </xf>
    <xf numFmtId="0" fontId="83" fillId="33" borderId="10" xfId="0" applyFont="1" applyFill="1" applyBorder="1" applyAlignment="1">
      <alignment vertical="center" wrapText="1"/>
    </xf>
    <xf numFmtId="0" fontId="82" fillId="10" borderId="14" xfId="0" applyFont="1" applyFill="1" applyBorder="1" applyAlignment="1">
      <alignment vertical="top" wrapText="1"/>
    </xf>
    <xf numFmtId="165" fontId="17" fillId="10" borderId="14" xfId="54"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14" fontId="90" fillId="34" borderId="10" xfId="0" applyNumberFormat="1" applyFont="1" applyFill="1" applyBorder="1" applyAlignment="1">
      <alignment horizontal="center" vertical="center" wrapText="1"/>
    </xf>
    <xf numFmtId="164" fontId="89" fillId="34" borderId="10" xfId="47" applyNumberFormat="1" applyFont="1" applyFill="1" applyBorder="1" applyAlignment="1">
      <alignment horizontal="center" vertical="center" wrapText="1"/>
    </xf>
    <xf numFmtId="49" fontId="18" fillId="34" borderId="10" xfId="47" applyNumberFormat="1" applyFont="1" applyFill="1" applyBorder="1" applyAlignment="1">
      <alignment vertical="center" wrapText="1"/>
    </xf>
    <xf numFmtId="3" fontId="89" fillId="34" borderId="10" xfId="0" applyNumberFormat="1" applyFont="1" applyFill="1" applyBorder="1" applyAlignment="1">
      <alignment horizontal="center" vertical="center" wrapText="1"/>
    </xf>
    <xf numFmtId="9" fontId="18" fillId="34" borderId="10" xfId="0" applyNumberFormat="1" applyFont="1" applyFill="1" applyBorder="1" applyAlignment="1">
      <alignment horizontal="center" vertical="center" wrapText="1"/>
    </xf>
    <xf numFmtId="0" fontId="89" fillId="34" borderId="10" xfId="0" applyNumberFormat="1" applyFont="1" applyFill="1" applyBorder="1" applyAlignment="1">
      <alignment horizontal="center" vertical="center" wrapText="1"/>
    </xf>
    <xf numFmtId="0" fontId="83" fillId="34" borderId="10" xfId="0" applyFont="1" applyFill="1" applyBorder="1" applyAlignment="1">
      <alignment horizontal="justify" vertical="center"/>
    </xf>
    <xf numFmtId="9" fontId="18" fillId="34" borderId="10" xfId="0" applyNumberFormat="1" applyFont="1" applyFill="1" applyBorder="1" applyAlignment="1">
      <alignment horizontal="left" vertical="center" wrapText="1"/>
    </xf>
    <xf numFmtId="10" fontId="18" fillId="34" borderId="10" xfId="47" applyNumberFormat="1" applyFont="1" applyFill="1" applyBorder="1" applyAlignment="1">
      <alignment horizontal="left" wrapText="1"/>
    </xf>
    <xf numFmtId="10" fontId="18"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64" fontId="18" fillId="34" borderId="10" xfId="47" applyNumberFormat="1" applyFont="1" applyFill="1" applyBorder="1" applyAlignment="1">
      <alignment horizontal="left" vertical="center" wrapText="1"/>
    </xf>
    <xf numFmtId="14" fontId="8" fillId="34" borderId="10" xfId="0" applyNumberFormat="1" applyFont="1" applyFill="1" applyBorder="1" applyAlignment="1">
      <alignment horizontal="center" vertical="center" wrapText="1"/>
    </xf>
    <xf numFmtId="9" fontId="89" fillId="34" borderId="10" xfId="0" applyNumberFormat="1" applyFont="1" applyFill="1" applyBorder="1" applyAlignment="1">
      <alignment horizontal="center" vertical="center" wrapText="1"/>
    </xf>
    <xf numFmtId="0" fontId="18" fillId="34" borderId="10" xfId="0" applyFont="1" applyFill="1" applyBorder="1" applyAlignment="1">
      <alignment horizontal="left" vertical="center" wrapText="1"/>
    </xf>
    <xf numFmtId="0" fontId="13" fillId="34" borderId="10" xfId="0" applyFont="1" applyFill="1" applyBorder="1" applyAlignment="1">
      <alignment vertical="center" wrapText="1"/>
    </xf>
    <xf numFmtId="165" fontId="89" fillId="34" borderId="10" xfId="0" applyNumberFormat="1" applyFont="1" applyFill="1" applyBorder="1" applyAlignment="1">
      <alignment horizontal="center" vertical="center" wrapText="1"/>
    </xf>
    <xf numFmtId="0" fontId="18" fillId="34" borderId="10" xfId="0" applyFont="1" applyFill="1" applyBorder="1" applyAlignment="1">
      <alignment vertical="center" wrapText="1"/>
    </xf>
    <xf numFmtId="0" fontId="18" fillId="34"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20" fillId="34" borderId="11" xfId="0" applyFont="1" applyFill="1" applyBorder="1" applyAlignment="1">
      <alignment horizontal="center" vertical="center" wrapText="1"/>
    </xf>
    <xf numFmtId="14" fontId="90" fillId="34" borderId="11" xfId="0" applyNumberFormat="1" applyFont="1" applyFill="1" applyBorder="1" applyAlignment="1">
      <alignment horizontal="center" vertical="center" wrapText="1"/>
    </xf>
    <xf numFmtId="164" fontId="89" fillId="34" borderId="11" xfId="47" applyNumberFormat="1" applyFont="1" applyFill="1" applyBorder="1" applyAlignment="1">
      <alignment horizontal="center" vertical="center" wrapText="1"/>
    </xf>
    <xf numFmtId="49" fontId="18" fillId="34" borderId="11" xfId="47" applyNumberFormat="1" applyFont="1" applyFill="1" applyBorder="1" applyAlignment="1">
      <alignment vertical="center" wrapText="1"/>
    </xf>
    <xf numFmtId="10" fontId="18" fillId="34" borderId="23" xfId="0" applyNumberFormat="1" applyFont="1" applyFill="1" applyBorder="1" applyAlignment="1">
      <alignment horizontal="left" vertical="center" wrapText="1"/>
    </xf>
    <xf numFmtId="0" fontId="18" fillId="34" borderId="14" xfId="0" applyFont="1" applyFill="1" applyBorder="1" applyAlignment="1">
      <alignment horizontal="center" vertical="center" wrapText="1"/>
    </xf>
    <xf numFmtId="0" fontId="13" fillId="34" borderId="14" xfId="0" applyFont="1" applyFill="1" applyBorder="1" applyAlignment="1">
      <alignment vertical="center" wrapText="1"/>
    </xf>
    <xf numFmtId="0" fontId="20" fillId="34" borderId="14" xfId="0" applyFont="1" applyFill="1" applyBorder="1" applyAlignment="1">
      <alignment horizontal="center" vertical="center" wrapText="1"/>
    </xf>
    <xf numFmtId="14" fontId="90" fillId="34" borderId="14" xfId="0" applyNumberFormat="1" applyFont="1" applyFill="1" applyBorder="1" applyAlignment="1">
      <alignment horizontal="center" vertical="center" wrapText="1"/>
    </xf>
    <xf numFmtId="165" fontId="89" fillId="34" borderId="14" xfId="0" applyNumberFormat="1" applyFont="1" applyFill="1" applyBorder="1" applyAlignment="1">
      <alignment horizontal="center" vertical="center" wrapText="1"/>
    </xf>
    <xf numFmtId="0" fontId="18" fillId="34" borderId="14" xfId="0" applyFont="1" applyFill="1" applyBorder="1" applyAlignment="1">
      <alignment vertical="center" wrapText="1"/>
    </xf>
    <xf numFmtId="165" fontId="17" fillId="34" borderId="14" xfId="54" applyNumberFormat="1" applyFont="1" applyFill="1" applyBorder="1" applyAlignment="1">
      <alignment horizontal="center" vertical="center" wrapText="1"/>
    </xf>
    <xf numFmtId="0" fontId="83" fillId="34" borderId="15" xfId="0" applyFont="1" applyFill="1" applyBorder="1" applyAlignment="1">
      <alignment horizontal="justify" vertical="center" wrapText="1"/>
    </xf>
    <xf numFmtId="165" fontId="33" fillId="13" borderId="10" xfId="54" applyNumberFormat="1" applyFont="1" applyFill="1" applyBorder="1" applyAlignment="1">
      <alignment horizontal="center" vertical="center" wrapText="1"/>
    </xf>
    <xf numFmtId="0" fontId="89" fillId="13" borderId="10" xfId="0" applyFont="1" applyFill="1" applyBorder="1" applyAlignment="1">
      <alignment horizontal="left" vertical="center" wrapText="1"/>
    </xf>
    <xf numFmtId="0" fontId="25" fillId="13" borderId="10" xfId="0" applyFont="1" applyFill="1" applyBorder="1" applyAlignment="1">
      <alignment horizontal="left" vertical="center" wrapText="1"/>
    </xf>
    <xf numFmtId="165" fontId="91" fillId="13" borderId="10" xfId="54" applyNumberFormat="1" applyFont="1" applyFill="1" applyBorder="1" applyAlignment="1">
      <alignment horizontal="center" vertical="center"/>
    </xf>
    <xf numFmtId="9" fontId="83" fillId="13" borderId="10" xfId="0" applyNumberFormat="1" applyFont="1" applyFill="1" applyBorder="1" applyAlignment="1">
      <alignment vertical="center" wrapText="1"/>
    </xf>
    <xf numFmtId="9" fontId="18" fillId="13" borderId="10" xfId="0" applyNumberFormat="1" applyFont="1" applyFill="1" applyBorder="1" applyAlignment="1">
      <alignment horizontal="left" vertical="center" wrapText="1"/>
    </xf>
    <xf numFmtId="0" fontId="84" fillId="13" borderId="23" xfId="0" applyFont="1" applyFill="1" applyBorder="1" applyAlignment="1">
      <alignment horizontal="left" vertical="center" wrapText="1"/>
    </xf>
    <xf numFmtId="9" fontId="89" fillId="13" borderId="23" xfId="0" applyNumberFormat="1" applyFont="1" applyFill="1" applyBorder="1" applyAlignment="1">
      <alignment horizontal="left" vertical="top" wrapText="1"/>
    </xf>
    <xf numFmtId="9" fontId="83" fillId="13" borderId="23" xfId="0" applyNumberFormat="1" applyFont="1" applyFill="1" applyBorder="1" applyAlignment="1">
      <alignment vertical="center" wrapText="1"/>
    </xf>
    <xf numFmtId="9" fontId="83" fillId="13" borderId="23" xfId="0" applyNumberFormat="1" applyFont="1" applyFill="1" applyBorder="1" applyAlignment="1">
      <alignment horizontal="left" vertical="center" wrapText="1"/>
    </xf>
    <xf numFmtId="9" fontId="18" fillId="13" borderId="23" xfId="0" applyNumberFormat="1" applyFont="1" applyFill="1" applyBorder="1" applyAlignment="1">
      <alignment horizontal="left" vertical="center" wrapText="1"/>
    </xf>
    <xf numFmtId="10" fontId="17" fillId="13" borderId="14" xfId="54" applyNumberFormat="1" applyFont="1" applyFill="1" applyBorder="1" applyAlignment="1">
      <alignment horizontal="center" vertical="center" wrapText="1"/>
    </xf>
    <xf numFmtId="0" fontId="83" fillId="13" borderId="15" xfId="0" applyFont="1" applyFill="1" applyBorder="1" applyAlignment="1">
      <alignment horizontal="left" vertical="center" wrapText="1"/>
    </xf>
    <xf numFmtId="0" fontId="81" fillId="10" borderId="10" xfId="0" applyFont="1" applyFill="1" applyBorder="1" applyAlignment="1">
      <alignment vertical="top" wrapText="1"/>
    </xf>
    <xf numFmtId="10" fontId="83" fillId="10" borderId="10" xfId="47" applyNumberFormat="1" applyFont="1" applyFill="1" applyBorder="1" applyAlignment="1">
      <alignment horizontal="left" vertical="center" wrapText="1"/>
    </xf>
    <xf numFmtId="0" fontId="81" fillId="10" borderId="10" xfId="0" applyFont="1" applyFill="1" applyBorder="1" applyAlignment="1">
      <alignment vertical="center" wrapText="1"/>
    </xf>
    <xf numFmtId="14" fontId="90" fillId="10" borderId="10" xfId="0" applyNumberFormat="1" applyFont="1" applyFill="1" applyBorder="1" applyAlignment="1">
      <alignment vertical="center" wrapText="1"/>
    </xf>
    <xf numFmtId="9" fontId="83" fillId="10" borderId="10" xfId="0" applyNumberFormat="1" applyFont="1" applyFill="1" applyBorder="1" applyAlignment="1">
      <alignment horizontal="left" vertical="center" wrapText="1"/>
    </xf>
    <xf numFmtId="10" fontId="89" fillId="10" borderId="10" xfId="47" applyNumberFormat="1" applyFont="1" applyFill="1" applyBorder="1" applyAlignment="1">
      <alignment horizontal="left" vertical="center" wrapText="1"/>
    </xf>
    <xf numFmtId="0" fontId="82" fillId="10" borderId="10" xfId="0" applyFont="1" applyFill="1" applyBorder="1" applyAlignment="1">
      <alignment horizontal="left" vertical="center" wrapText="1"/>
    </xf>
    <xf numFmtId="0" fontId="84" fillId="10" borderId="10" xfId="0" applyFont="1" applyFill="1" applyBorder="1" applyAlignment="1">
      <alignment vertical="center" wrapText="1"/>
    </xf>
    <xf numFmtId="0" fontId="89" fillId="10" borderId="10" xfId="0" applyFont="1" applyFill="1" applyBorder="1" applyAlignment="1">
      <alignment vertical="center" wrapText="1"/>
    </xf>
    <xf numFmtId="0" fontId="92" fillId="10" borderId="10" xfId="0" applyFont="1" applyFill="1" applyBorder="1" applyAlignment="1">
      <alignment vertical="center" wrapText="1"/>
    </xf>
    <xf numFmtId="0" fontId="83" fillId="10" borderId="10" xfId="0" applyFont="1" applyFill="1" applyBorder="1" applyAlignment="1">
      <alignment vertical="center" wrapText="1"/>
    </xf>
    <xf numFmtId="9" fontId="89" fillId="10" borderId="11" xfId="0" applyNumberFormat="1" applyFont="1" applyFill="1" applyBorder="1" applyAlignment="1">
      <alignment vertical="center" wrapText="1"/>
    </xf>
    <xf numFmtId="0" fontId="83" fillId="10" borderId="22" xfId="0" applyFont="1" applyFill="1" applyBorder="1" applyAlignment="1">
      <alignment horizontal="left" vertical="center" wrapText="1"/>
    </xf>
    <xf numFmtId="0" fontId="83" fillId="10" borderId="23" xfId="0" applyFont="1" applyFill="1" applyBorder="1" applyAlignment="1">
      <alignment horizontal="left" vertical="center" wrapText="1"/>
    </xf>
    <xf numFmtId="0" fontId="84" fillId="10" borderId="23" xfId="0" applyFont="1" applyFill="1" applyBorder="1" applyAlignment="1">
      <alignment horizontal="left" vertical="top" wrapText="1"/>
    </xf>
    <xf numFmtId="0" fontId="89" fillId="10" borderId="23" xfId="0" applyFont="1" applyFill="1" applyBorder="1" applyAlignment="1">
      <alignment horizontal="left" vertical="top" wrapText="1"/>
    </xf>
    <xf numFmtId="0" fontId="83" fillId="10" borderId="14" xfId="0" applyFont="1" applyFill="1" applyBorder="1" applyAlignment="1">
      <alignment vertical="center" wrapText="1"/>
    </xf>
    <xf numFmtId="0" fontId="83" fillId="3" borderId="10" xfId="0" applyFont="1" applyFill="1" applyBorder="1" applyAlignment="1">
      <alignment vertical="center" wrapText="1"/>
    </xf>
    <xf numFmtId="0" fontId="81" fillId="3" borderId="10" xfId="0" applyFont="1" applyFill="1" applyBorder="1" applyAlignment="1">
      <alignment horizontal="left" vertical="center" wrapText="1"/>
    </xf>
    <xf numFmtId="9" fontId="89" fillId="3" borderId="10" xfId="0" applyNumberFormat="1" applyFont="1" applyFill="1" applyBorder="1" applyAlignment="1">
      <alignment horizontal="left" vertical="top" wrapText="1"/>
    </xf>
    <xf numFmtId="9" fontId="83" fillId="3" borderId="10" xfId="0" applyNumberFormat="1" applyFont="1" applyFill="1" applyBorder="1" applyAlignment="1">
      <alignment horizontal="left" vertical="top" wrapText="1"/>
    </xf>
    <xf numFmtId="0" fontId="83" fillId="3" borderId="23" xfId="0" applyFont="1" applyFill="1" applyBorder="1" applyAlignment="1">
      <alignment vertical="center" wrapText="1"/>
    </xf>
    <xf numFmtId="0" fontId="83" fillId="3" borderId="23" xfId="0" applyFont="1" applyFill="1" applyBorder="1" applyAlignment="1">
      <alignment horizontal="left" vertical="center" wrapText="1"/>
    </xf>
    <xf numFmtId="9" fontId="83" fillId="3" borderId="14" xfId="0" applyNumberFormat="1" applyFont="1" applyFill="1" applyBorder="1" applyAlignment="1">
      <alignment horizontal="left" vertical="center" wrapText="1"/>
    </xf>
    <xf numFmtId="0" fontId="81" fillId="33" borderId="10" xfId="0" applyFont="1" applyFill="1" applyBorder="1" applyAlignment="1">
      <alignment horizontal="left" vertical="center" wrapText="1"/>
    </xf>
    <xf numFmtId="0" fontId="86" fillId="33" borderId="10" xfId="0" applyFont="1" applyFill="1" applyBorder="1" applyAlignment="1">
      <alignment vertical="center" wrapText="1"/>
    </xf>
    <xf numFmtId="9" fontId="84" fillId="33" borderId="10" xfId="0" applyNumberFormat="1" applyFont="1" applyFill="1" applyBorder="1" applyAlignment="1">
      <alignment horizontal="left" vertical="top" wrapText="1"/>
    </xf>
    <xf numFmtId="0" fontId="82" fillId="33" borderId="10" xfId="0" applyFont="1" applyFill="1" applyBorder="1" applyAlignment="1">
      <alignment vertical="center" wrapText="1"/>
    </xf>
    <xf numFmtId="10" fontId="83" fillId="33" borderId="10" xfId="47" applyNumberFormat="1" applyFont="1" applyFill="1" applyBorder="1" applyAlignment="1">
      <alignment horizontal="left" vertical="center" wrapText="1"/>
    </xf>
    <xf numFmtId="0" fontId="83" fillId="33" borderId="10" xfId="0" applyFont="1" applyFill="1" applyBorder="1" applyAlignment="1">
      <alignment horizontal="left" vertical="center" wrapText="1"/>
    </xf>
    <xf numFmtId="0" fontId="83" fillId="33" borderId="22" xfId="0" applyFont="1" applyFill="1" applyBorder="1" applyAlignment="1">
      <alignment vertical="center" wrapText="1"/>
    </xf>
    <xf numFmtId="10" fontId="83" fillId="33" borderId="23" xfId="47" applyNumberFormat="1" applyFont="1" applyFill="1" applyBorder="1" applyAlignment="1">
      <alignment horizontal="left" vertical="center" wrapText="1"/>
    </xf>
    <xf numFmtId="0" fontId="83" fillId="34" borderId="25" xfId="0" applyFont="1" applyFill="1" applyBorder="1" applyAlignment="1">
      <alignment horizontal="left" vertical="center" wrapText="1"/>
    </xf>
    <xf numFmtId="10" fontId="91" fillId="13" borderId="10" xfId="54" applyNumberFormat="1" applyFont="1" applyFill="1" applyBorder="1" applyAlignment="1">
      <alignment horizontal="center" vertical="center"/>
    </xf>
    <xf numFmtId="9" fontId="80" fillId="13" borderId="10" xfId="0" applyNumberFormat="1" applyFont="1" applyFill="1" applyBorder="1" applyAlignment="1">
      <alignment horizontal="justify" wrapText="1"/>
    </xf>
    <xf numFmtId="165" fontId="83" fillId="3" borderId="23" xfId="0" applyNumberFormat="1" applyFont="1" applyFill="1" applyBorder="1" applyAlignment="1">
      <alignment horizontal="left" vertical="center" wrapText="1"/>
    </xf>
    <xf numFmtId="0" fontId="83" fillId="13" borderId="10" xfId="0" applyFont="1" applyFill="1" applyBorder="1" applyAlignment="1">
      <alignment horizontal="left" vertical="top" wrapText="1"/>
    </xf>
    <xf numFmtId="0" fontId="83" fillId="34" borderId="10" xfId="0" applyFont="1" applyFill="1" applyBorder="1" applyAlignment="1">
      <alignment horizontal="justify" vertical="center" wrapText="1"/>
    </xf>
    <xf numFmtId="9" fontId="17" fillId="13" borderId="10" xfId="54" applyNumberFormat="1" applyFont="1" applyFill="1" applyBorder="1" applyAlignment="1">
      <alignment horizontal="center" vertical="center" wrapText="1"/>
    </xf>
    <xf numFmtId="165" fontId="17" fillId="13" borderId="14" xfId="54" applyNumberFormat="1" applyFont="1" applyFill="1" applyBorder="1" applyAlignment="1">
      <alignment horizontal="center" vertical="center" wrapText="1"/>
    </xf>
    <xf numFmtId="9" fontId="17" fillId="10" borderId="10" xfId="54" applyNumberFormat="1" applyFont="1" applyFill="1" applyBorder="1" applyAlignment="1">
      <alignment horizontal="center" vertical="center" wrapText="1"/>
    </xf>
    <xf numFmtId="9" fontId="17" fillId="3" borderId="11" xfId="54" applyNumberFormat="1" applyFont="1" applyFill="1" applyBorder="1" applyAlignment="1">
      <alignment horizontal="center" vertical="center" wrapText="1"/>
    </xf>
    <xf numFmtId="9" fontId="17" fillId="3" borderId="10" xfId="54" applyNumberFormat="1" applyFont="1" applyFill="1" applyBorder="1" applyAlignment="1">
      <alignment horizontal="center" vertical="center" wrapText="1"/>
    </xf>
    <xf numFmtId="9" fontId="17" fillId="33" borderId="11" xfId="54" applyNumberFormat="1" applyFont="1" applyFill="1" applyBorder="1" applyAlignment="1">
      <alignment horizontal="center" vertical="center" wrapText="1"/>
    </xf>
    <xf numFmtId="9" fontId="17" fillId="33" borderId="10" xfId="54" applyNumberFormat="1" applyFont="1" applyFill="1" applyBorder="1" applyAlignment="1">
      <alignment horizontal="center" vertical="center" wrapText="1"/>
    </xf>
    <xf numFmtId="9" fontId="17" fillId="33" borderId="12" xfId="54" applyNumberFormat="1" applyFont="1" applyFill="1" applyBorder="1" applyAlignment="1">
      <alignment horizontal="center" vertical="center" wrapText="1"/>
    </xf>
    <xf numFmtId="49" fontId="84" fillId="10" borderId="10" xfId="47" applyNumberFormat="1" applyFont="1" applyFill="1" applyBorder="1" applyAlignment="1">
      <alignment horizontal="left" vertical="center" wrapText="1"/>
    </xf>
    <xf numFmtId="0" fontId="92" fillId="10" borderId="12" xfId="0" applyFont="1" applyFill="1" applyBorder="1" applyAlignment="1">
      <alignment horizontal="left" vertical="top" wrapText="1"/>
    </xf>
    <xf numFmtId="10" fontId="18" fillId="34" borderId="26" xfId="0" applyNumberFormat="1" applyFont="1" applyFill="1" applyBorder="1" applyAlignment="1">
      <alignment horizontal="left" vertical="center" wrapText="1"/>
    </xf>
    <xf numFmtId="10" fontId="18" fillId="34" borderId="27" xfId="0" applyNumberFormat="1" applyFont="1" applyFill="1" applyBorder="1" applyAlignment="1">
      <alignment horizontal="left" vertical="center" wrapText="1"/>
    </xf>
    <xf numFmtId="0" fontId="18" fillId="13" borderId="28" xfId="0" applyFont="1" applyFill="1" applyBorder="1" applyAlignment="1">
      <alignment horizontal="left" vertical="center" wrapText="1"/>
    </xf>
    <xf numFmtId="0" fontId="18" fillId="13" borderId="29" xfId="0" applyFont="1" applyFill="1" applyBorder="1" applyAlignment="1">
      <alignment horizontal="left" vertical="center" wrapText="1"/>
    </xf>
    <xf numFmtId="9" fontId="18" fillId="13" borderId="29" xfId="0" applyNumberFormat="1" applyFont="1" applyFill="1" applyBorder="1" applyAlignment="1">
      <alignment horizontal="left" vertical="center" wrapText="1"/>
    </xf>
    <xf numFmtId="9" fontId="25" fillId="10" borderId="27" xfId="0" applyNumberFormat="1" applyFont="1" applyFill="1" applyBorder="1" applyAlignment="1">
      <alignment horizontal="left" vertical="center" wrapText="1"/>
    </xf>
    <xf numFmtId="164" fontId="25" fillId="10" borderId="27" xfId="47" applyNumberFormat="1" applyFont="1" applyFill="1" applyBorder="1" applyAlignment="1">
      <alignment horizontal="left" vertical="center" wrapText="1"/>
    </xf>
    <xf numFmtId="0" fontId="18" fillId="3" borderId="29" xfId="0" applyFont="1" applyFill="1" applyBorder="1" applyAlignment="1">
      <alignment vertical="center" wrapText="1"/>
    </xf>
    <xf numFmtId="9" fontId="25" fillId="3" borderId="29" xfId="0" applyNumberFormat="1" applyFont="1" applyFill="1" applyBorder="1" applyAlignment="1">
      <alignment horizontal="left" vertical="center" wrapText="1"/>
    </xf>
    <xf numFmtId="0" fontId="18" fillId="33" borderId="29" xfId="0" applyFont="1" applyFill="1" applyBorder="1" applyAlignment="1">
      <alignment horizontal="left" vertical="center" wrapText="1"/>
    </xf>
    <xf numFmtId="0" fontId="18" fillId="33" borderId="29" xfId="0" applyFont="1" applyFill="1" applyBorder="1" applyAlignment="1">
      <alignment vertical="center" wrapText="1"/>
    </xf>
    <xf numFmtId="9" fontId="84" fillId="33" borderId="25" xfId="0" applyNumberFormat="1" applyFont="1" applyFill="1" applyBorder="1" applyAlignment="1">
      <alignment horizontal="left" vertical="center" wrapText="1"/>
    </xf>
    <xf numFmtId="9" fontId="84" fillId="33" borderId="10" xfId="0" applyNumberFormat="1" applyFont="1" applyFill="1" applyBorder="1" applyAlignment="1">
      <alignment horizontal="left" vertical="center" wrapText="1"/>
    </xf>
    <xf numFmtId="9" fontId="84" fillId="33" borderId="12" xfId="0" applyNumberFormat="1" applyFont="1" applyFill="1" applyBorder="1" applyAlignment="1">
      <alignment horizontal="left" vertical="center" wrapText="1"/>
    </xf>
    <xf numFmtId="0" fontId="88" fillId="13" borderId="10" xfId="0" applyFont="1" applyFill="1" applyBorder="1" applyAlignment="1">
      <alignment horizontal="left" vertical="center" wrapText="1"/>
    </xf>
    <xf numFmtId="0" fontId="84" fillId="0" borderId="0" xfId="0" applyFont="1" applyAlignment="1">
      <alignment/>
    </xf>
    <xf numFmtId="9" fontId="17" fillId="34" borderId="10" xfId="54" applyNumberFormat="1" applyFont="1" applyFill="1" applyBorder="1" applyAlignment="1">
      <alignment horizontal="center" vertical="center" wrapText="1"/>
    </xf>
    <xf numFmtId="164" fontId="18" fillId="34" borderId="30" xfId="47" applyNumberFormat="1" applyFont="1" applyFill="1" applyBorder="1" applyAlignment="1">
      <alignment horizontal="left" vertical="center" wrapText="1"/>
    </xf>
    <xf numFmtId="9" fontId="17" fillId="13" borderId="14" xfId="54" applyNumberFormat="1" applyFont="1" applyFill="1" applyBorder="1" applyAlignment="1">
      <alignment horizontal="center" vertical="center" wrapText="1"/>
    </xf>
    <xf numFmtId="9" fontId="17" fillId="10" borderId="11" xfId="54" applyNumberFormat="1" applyFont="1" applyFill="1" applyBorder="1" applyAlignment="1">
      <alignment horizontal="center" vertical="center" wrapText="1"/>
    </xf>
    <xf numFmtId="9" fontId="17" fillId="10" borderId="14" xfId="54" applyNumberFormat="1" applyFont="1" applyFill="1" applyBorder="1" applyAlignment="1">
      <alignment horizontal="center" vertical="center" wrapText="1"/>
    </xf>
    <xf numFmtId="9" fontId="17" fillId="33" borderId="25" xfId="54" applyNumberFormat="1" applyFont="1" applyFill="1" applyBorder="1" applyAlignment="1">
      <alignment horizontal="center" vertical="center" wrapText="1"/>
    </xf>
    <xf numFmtId="9" fontId="17" fillId="13" borderId="31" xfId="54" applyNumberFormat="1" applyFont="1" applyFill="1" applyBorder="1" applyAlignment="1">
      <alignment horizontal="center" vertical="center" wrapText="1"/>
    </xf>
    <xf numFmtId="9" fontId="91" fillId="13" borderId="10" xfId="54" applyNumberFormat="1" applyFont="1" applyFill="1" applyBorder="1" applyAlignment="1">
      <alignment horizontal="center" vertical="center"/>
    </xf>
    <xf numFmtId="9" fontId="84" fillId="10" borderId="10" xfId="0" applyNumberFormat="1" applyFont="1" applyFill="1" applyBorder="1" applyAlignment="1">
      <alignment horizontal="left" vertical="center" wrapText="1"/>
    </xf>
    <xf numFmtId="164" fontId="83" fillId="10" borderId="10" xfId="47" applyNumberFormat="1" applyFont="1" applyFill="1" applyBorder="1" applyAlignment="1">
      <alignment horizontal="left" vertical="center" wrapText="1"/>
    </xf>
    <xf numFmtId="9" fontId="83" fillId="10" borderId="14" xfId="0" applyNumberFormat="1" applyFont="1" applyFill="1" applyBorder="1" applyAlignment="1">
      <alignment horizontal="left" vertical="center" wrapText="1"/>
    </xf>
    <xf numFmtId="9" fontId="84" fillId="3" borderId="10" xfId="0" applyNumberFormat="1" applyFont="1" applyFill="1" applyBorder="1" applyAlignment="1">
      <alignment horizontal="left" vertical="center" wrapText="1"/>
    </xf>
    <xf numFmtId="9" fontId="17" fillId="3" borderId="32" xfId="54" applyNumberFormat="1" applyFont="1" applyFill="1" applyBorder="1" applyAlignment="1">
      <alignment horizontal="center" vertical="center" wrapText="1"/>
    </xf>
    <xf numFmtId="9" fontId="83" fillId="33" borderId="14" xfId="0" applyNumberFormat="1" applyFont="1" applyFill="1" applyBorder="1" applyAlignment="1">
      <alignment horizontal="left" vertical="center" wrapText="1"/>
    </xf>
    <xf numFmtId="49" fontId="36" fillId="34" borderId="23" xfId="47" applyNumberFormat="1" applyFont="1" applyFill="1" applyBorder="1" applyAlignment="1">
      <alignment horizontal="left" vertical="center" wrapText="1"/>
    </xf>
    <xf numFmtId="9" fontId="17" fillId="34" borderId="33" xfId="54" applyNumberFormat="1" applyFont="1" applyFill="1" applyBorder="1" applyAlignment="1">
      <alignment horizontal="center" vertical="center" wrapText="1"/>
    </xf>
    <xf numFmtId="49" fontId="11" fillId="34" borderId="23" xfId="47" applyNumberFormat="1" applyFont="1" applyFill="1" applyBorder="1" applyAlignment="1">
      <alignment horizontal="left" vertical="center" wrapText="1"/>
    </xf>
    <xf numFmtId="49" fontId="36" fillId="34" borderId="23" xfId="47" applyNumberFormat="1" applyFont="1" applyFill="1" applyBorder="1" applyAlignment="1">
      <alignment horizontal="left" vertical="top" wrapText="1"/>
    </xf>
    <xf numFmtId="166" fontId="84" fillId="0" borderId="0" xfId="0" applyNumberFormat="1" applyFont="1" applyAlignment="1">
      <alignment/>
    </xf>
    <xf numFmtId="49" fontId="84" fillId="33" borderId="10" xfId="47" applyNumberFormat="1" applyFont="1" applyFill="1" applyBorder="1" applyAlignment="1">
      <alignment vertical="center" wrapText="1"/>
    </xf>
    <xf numFmtId="9" fontId="17" fillId="13" borderId="34" xfId="54" applyNumberFormat="1" applyFont="1" applyFill="1" applyBorder="1" applyAlignment="1">
      <alignment horizontal="center" vertical="center" wrapText="1"/>
    </xf>
    <xf numFmtId="9" fontId="17" fillId="3" borderId="34" xfId="54" applyNumberFormat="1" applyFont="1" applyFill="1" applyBorder="1" applyAlignment="1">
      <alignment horizontal="center" vertical="center" wrapText="1"/>
    </xf>
    <xf numFmtId="0" fontId="83" fillId="34" borderId="35" xfId="0" applyFont="1" applyFill="1" applyBorder="1" applyAlignment="1">
      <alignment horizontal="justify" vertical="center" wrapText="1"/>
    </xf>
    <xf numFmtId="0" fontId="83" fillId="34" borderId="35" xfId="0" applyFont="1" applyFill="1" applyBorder="1" applyAlignment="1">
      <alignment horizontal="left" vertical="center" wrapText="1"/>
    </xf>
    <xf numFmtId="9" fontId="17" fillId="34" borderId="36" xfId="54" applyNumberFormat="1" applyFont="1" applyFill="1" applyBorder="1" applyAlignment="1">
      <alignment horizontal="center" vertical="center" wrapText="1"/>
    </xf>
    <xf numFmtId="164" fontId="25" fillId="34" borderId="30" xfId="47" applyNumberFormat="1" applyFont="1" applyFill="1" applyBorder="1" applyAlignment="1">
      <alignment horizontal="left" vertical="center" wrapText="1"/>
    </xf>
    <xf numFmtId="9" fontId="17" fillId="34" borderId="11" xfId="54" applyNumberFormat="1" applyFont="1" applyFill="1" applyBorder="1" applyAlignment="1">
      <alignment horizontal="center" vertical="center" wrapText="1"/>
    </xf>
    <xf numFmtId="10" fontId="17" fillId="34" borderId="10" xfId="54" applyNumberFormat="1" applyFont="1" applyFill="1" applyBorder="1" applyAlignment="1">
      <alignment horizontal="center" vertical="center" wrapText="1"/>
    </xf>
    <xf numFmtId="9" fontId="91" fillId="13" borderId="37" xfId="54" applyNumberFormat="1" applyFont="1" applyFill="1" applyBorder="1" applyAlignment="1">
      <alignment horizontal="center" vertical="center" wrapText="1"/>
    </xf>
    <xf numFmtId="9" fontId="17" fillId="33" borderId="34" xfId="54" applyNumberFormat="1" applyFont="1" applyFill="1" applyBorder="1" applyAlignment="1">
      <alignment horizontal="center" vertical="center" wrapText="1"/>
    </xf>
    <xf numFmtId="9" fontId="80" fillId="13" borderId="23" xfId="0" applyNumberFormat="1" applyFont="1" applyFill="1" applyBorder="1" applyAlignment="1">
      <alignment horizontal="justify" vertical="top" wrapText="1"/>
    </xf>
    <xf numFmtId="9" fontId="17" fillId="13" borderId="11" xfId="54" applyNumberFormat="1" applyFont="1" applyFill="1" applyBorder="1" applyAlignment="1">
      <alignment horizontal="center" vertical="center" wrapText="1"/>
    </xf>
    <xf numFmtId="0" fontId="84" fillId="0" borderId="0" xfId="0" applyFont="1" applyAlignment="1">
      <alignment horizontal="right" vertical="center"/>
    </xf>
    <xf numFmtId="165" fontId="93" fillId="0" borderId="0" xfId="0" applyNumberFormat="1" applyFont="1" applyAlignment="1">
      <alignment horizontal="center" vertical="center"/>
    </xf>
    <xf numFmtId="0" fontId="80" fillId="10" borderId="38" xfId="0" applyFont="1" applyFill="1" applyBorder="1" applyAlignment="1">
      <alignment horizontal="center" vertical="center"/>
    </xf>
    <xf numFmtId="0" fontId="80" fillId="10" borderId="39" xfId="0" applyFont="1" applyFill="1" applyBorder="1" applyAlignment="1">
      <alignment horizontal="center" vertical="center"/>
    </xf>
    <xf numFmtId="0" fontId="80" fillId="10" borderId="40" xfId="0" applyFont="1" applyFill="1" applyBorder="1" applyAlignment="1">
      <alignment horizontal="center" vertical="center"/>
    </xf>
    <xf numFmtId="0" fontId="83" fillId="33" borderId="11" xfId="0" applyFont="1" applyFill="1" applyBorder="1" applyAlignment="1">
      <alignment horizontal="center" vertical="top" wrapText="1"/>
    </xf>
    <xf numFmtId="0" fontId="83" fillId="33" borderId="10" xfId="0" applyFont="1" applyFill="1" applyBorder="1" applyAlignment="1">
      <alignment horizontal="center" vertical="top" wrapText="1"/>
    </xf>
    <xf numFmtId="0" fontId="89" fillId="33" borderId="11" xfId="0" applyFont="1" applyFill="1" applyBorder="1" applyAlignment="1">
      <alignment horizontal="center" vertical="center"/>
    </xf>
    <xf numFmtId="0" fontId="89" fillId="33" borderId="10" xfId="0" applyFont="1" applyFill="1" applyBorder="1" applyAlignment="1">
      <alignment horizontal="center" vertical="center"/>
    </xf>
    <xf numFmtId="0" fontId="84" fillId="3" borderId="10" xfId="0" applyFont="1" applyFill="1" applyBorder="1" applyAlignment="1">
      <alignment vertical="top" wrapText="1"/>
    </xf>
    <xf numFmtId="0" fontId="18" fillId="3" borderId="10" xfId="0" applyFont="1" applyFill="1" applyBorder="1" applyAlignment="1">
      <alignment vertical="top" wrapText="1"/>
    </xf>
    <xf numFmtId="0" fontId="89" fillId="3" borderId="10" xfId="0" applyFont="1" applyFill="1" applyBorder="1" applyAlignment="1">
      <alignment horizontal="center" vertical="center"/>
    </xf>
    <xf numFmtId="0" fontId="83" fillId="3" borderId="10" xfId="0" applyFont="1" applyFill="1" applyBorder="1" applyAlignment="1">
      <alignment vertical="top" wrapText="1"/>
    </xf>
    <xf numFmtId="0" fontId="89" fillId="33" borderId="11" xfId="0" applyNumberFormat="1" applyFont="1" applyFill="1" applyBorder="1" applyAlignment="1">
      <alignment horizontal="center" vertical="center" wrapText="1"/>
    </xf>
    <xf numFmtId="0" fontId="89" fillId="33" borderId="10" xfId="0" applyNumberFormat="1" applyFont="1" applyFill="1" applyBorder="1" applyAlignment="1">
      <alignment horizontal="center" vertical="center" wrapText="1"/>
    </xf>
    <xf numFmtId="0" fontId="89" fillId="3" borderId="10" xfId="0" applyNumberFormat="1" applyFont="1" applyFill="1" applyBorder="1" applyAlignment="1">
      <alignment horizontal="center" vertical="center" wrapText="1"/>
    </xf>
    <xf numFmtId="0" fontId="89" fillId="3" borderId="14" xfId="0" applyNumberFormat="1" applyFont="1" applyFill="1" applyBorder="1" applyAlignment="1">
      <alignment horizontal="center" vertical="center" wrapText="1"/>
    </xf>
    <xf numFmtId="0" fontId="83" fillId="3" borderId="10" xfId="0" applyFont="1" applyFill="1" applyBorder="1" applyAlignment="1">
      <alignment horizontal="left" vertical="top" wrapText="1"/>
    </xf>
    <xf numFmtId="14" fontId="90" fillId="3" borderId="10" xfId="0" applyNumberFormat="1" applyFont="1" applyFill="1" applyBorder="1" applyAlignment="1">
      <alignment horizontal="center" vertical="center" wrapText="1"/>
    </xf>
    <xf numFmtId="14" fontId="90" fillId="3" borderId="11" xfId="0" applyNumberFormat="1" applyFont="1" applyFill="1" applyBorder="1" applyAlignment="1">
      <alignment horizontal="center" vertical="center" wrapText="1"/>
    </xf>
    <xf numFmtId="0" fontId="83" fillId="3" borderId="11" xfId="0" applyFont="1" applyFill="1" applyBorder="1" applyAlignment="1">
      <alignment horizontal="left" vertical="top" wrapText="1"/>
    </xf>
    <xf numFmtId="0" fontId="84" fillId="10" borderId="10" xfId="0" applyFont="1" applyFill="1" applyBorder="1" applyAlignment="1">
      <alignment horizontal="left" vertical="top" wrapText="1"/>
    </xf>
    <xf numFmtId="0" fontId="84" fillId="10" borderId="14" xfId="0" applyFont="1" applyFill="1" applyBorder="1" applyAlignment="1">
      <alignment horizontal="left" vertical="top" wrapText="1"/>
    </xf>
    <xf numFmtId="14" fontId="90" fillId="10" borderId="10" xfId="0" applyNumberFormat="1" applyFont="1" applyFill="1" applyBorder="1" applyAlignment="1">
      <alignment horizontal="center" vertical="center" wrapText="1"/>
    </xf>
    <xf numFmtId="0" fontId="83" fillId="13" borderId="11" xfId="0" applyFont="1" applyFill="1" applyBorder="1" applyAlignment="1">
      <alignment horizontal="left" vertical="top" wrapText="1"/>
    </xf>
    <xf numFmtId="0" fontId="83" fillId="13" borderId="10" xfId="0" applyFont="1" applyFill="1" applyBorder="1" applyAlignment="1">
      <alignment horizontal="left" vertical="top" wrapText="1"/>
    </xf>
    <xf numFmtId="0" fontId="80" fillId="13" borderId="41" xfId="0" applyFont="1" applyFill="1" applyBorder="1" applyAlignment="1">
      <alignment horizontal="center" vertical="center" wrapText="1"/>
    </xf>
    <xf numFmtId="0" fontId="94" fillId="0" borderId="20" xfId="0" applyFont="1" applyBorder="1" applyAlignment="1">
      <alignment horizontal="center" vertical="top"/>
    </xf>
    <xf numFmtId="0" fontId="95" fillId="9" borderId="42" xfId="0" applyFont="1" applyFill="1" applyBorder="1" applyAlignment="1">
      <alignment horizontal="center" vertical="top" wrapText="1"/>
    </xf>
    <xf numFmtId="0" fontId="95" fillId="9" borderId="43" xfId="0" applyFont="1" applyFill="1" applyBorder="1" applyAlignment="1">
      <alignment horizontal="center" vertical="top" wrapText="1"/>
    </xf>
    <xf numFmtId="0" fontId="95" fillId="9" borderId="44" xfId="0" applyFont="1" applyFill="1" applyBorder="1" applyAlignment="1">
      <alignment horizontal="center" vertical="top" wrapText="1"/>
    </xf>
    <xf numFmtId="0" fontId="83" fillId="3" borderId="19" xfId="0" applyFont="1" applyFill="1" applyBorder="1" applyAlignment="1">
      <alignment horizontal="left" vertical="top" wrapText="1"/>
    </xf>
    <xf numFmtId="0" fontId="83" fillId="3" borderId="45" xfId="0" applyFont="1" applyFill="1" applyBorder="1" applyAlignment="1">
      <alignment horizontal="left" vertical="top" wrapText="1"/>
    </xf>
    <xf numFmtId="0" fontId="83" fillId="3" borderId="46" xfId="0" applyFont="1" applyFill="1" applyBorder="1" applyAlignment="1">
      <alignment horizontal="left" vertical="top" wrapText="1"/>
    </xf>
    <xf numFmtId="0" fontId="80" fillId="3" borderId="39" xfId="0" applyFont="1" applyFill="1" applyBorder="1" applyAlignment="1">
      <alignment horizontal="center" vertical="center"/>
    </xf>
    <xf numFmtId="0" fontId="80" fillId="3" borderId="47" xfId="0" applyFont="1" applyFill="1" applyBorder="1" applyAlignment="1">
      <alignment horizontal="center" vertical="center"/>
    </xf>
    <xf numFmtId="0" fontId="83" fillId="3" borderId="10" xfId="0" applyFont="1" applyFill="1" applyBorder="1" applyAlignment="1">
      <alignment horizontal="center" vertical="top" wrapText="1"/>
    </xf>
    <xf numFmtId="0" fontId="83" fillId="3" borderId="14" xfId="0" applyFont="1" applyFill="1" applyBorder="1" applyAlignment="1">
      <alignment horizontal="center" vertical="top" wrapText="1"/>
    </xf>
    <xf numFmtId="0" fontId="80" fillId="3" borderId="38" xfId="0" applyFont="1" applyFill="1" applyBorder="1" applyAlignment="1">
      <alignment horizontal="center" vertical="center"/>
    </xf>
    <xf numFmtId="0" fontId="80" fillId="3" borderId="40" xfId="0" applyFont="1" applyFill="1" applyBorder="1" applyAlignment="1">
      <alignment horizontal="center" vertical="center"/>
    </xf>
    <xf numFmtId="0" fontId="80" fillId="3" borderId="41" xfId="0" applyFont="1" applyFill="1" applyBorder="1" applyAlignment="1">
      <alignment horizontal="center" vertical="center"/>
    </xf>
    <xf numFmtId="0" fontId="83" fillId="3" borderId="11" xfId="0" applyFont="1" applyFill="1" applyBorder="1" applyAlignment="1">
      <alignment horizontal="center" vertical="top" wrapText="1"/>
    </xf>
    <xf numFmtId="0" fontId="95" fillId="35" borderId="42" xfId="0" applyFont="1" applyFill="1" applyBorder="1" applyAlignment="1">
      <alignment horizontal="center" vertical="top" wrapText="1"/>
    </xf>
    <xf numFmtId="0" fontId="95" fillId="35" borderId="43" xfId="0" applyFont="1" applyFill="1" applyBorder="1" applyAlignment="1">
      <alignment horizontal="center" vertical="top" wrapText="1"/>
    </xf>
    <xf numFmtId="0" fontId="95" fillId="35" borderId="44" xfId="0" applyFont="1" applyFill="1" applyBorder="1" applyAlignment="1">
      <alignment horizontal="center" vertical="top" wrapText="1"/>
    </xf>
    <xf numFmtId="0" fontId="83" fillId="10" borderId="19" xfId="0" applyFont="1" applyFill="1" applyBorder="1" applyAlignment="1">
      <alignment horizontal="left" vertical="top" wrapText="1"/>
    </xf>
    <xf numFmtId="0" fontId="83" fillId="10" borderId="45" xfId="0" applyFont="1" applyFill="1" applyBorder="1" applyAlignment="1">
      <alignment horizontal="left" vertical="top" wrapText="1"/>
    </xf>
    <xf numFmtId="0" fontId="83" fillId="10" borderId="46" xfId="0" applyFont="1" applyFill="1" applyBorder="1" applyAlignment="1">
      <alignment horizontal="left" vertical="top" wrapText="1"/>
    </xf>
    <xf numFmtId="0" fontId="80" fillId="10" borderId="21" xfId="0" applyFont="1" applyFill="1" applyBorder="1" applyAlignment="1">
      <alignment horizontal="center" vertical="center"/>
    </xf>
    <xf numFmtId="0" fontId="95" fillId="19" borderId="42" xfId="0" applyFont="1" applyFill="1" applyBorder="1" applyAlignment="1">
      <alignment horizontal="center" vertical="top" wrapText="1"/>
    </xf>
    <xf numFmtId="0" fontId="95" fillId="19" borderId="43" xfId="0" applyFont="1" applyFill="1" applyBorder="1" applyAlignment="1">
      <alignment horizontal="center" vertical="top" wrapText="1"/>
    </xf>
    <xf numFmtId="0" fontId="95" fillId="19" borderId="44" xfId="0" applyFont="1" applyFill="1" applyBorder="1" applyAlignment="1">
      <alignment horizontal="center" vertical="top" wrapText="1"/>
    </xf>
    <xf numFmtId="0" fontId="80" fillId="13" borderId="48" xfId="0" applyFont="1" applyFill="1" applyBorder="1" applyAlignment="1">
      <alignment horizontal="center" vertical="center" wrapText="1"/>
    </xf>
    <xf numFmtId="0" fontId="83" fillId="13" borderId="19" xfId="0" applyFont="1" applyFill="1" applyBorder="1" applyAlignment="1">
      <alignment horizontal="left" vertical="top" wrapText="1"/>
    </xf>
    <xf numFmtId="0" fontId="83" fillId="13" borderId="45" xfId="0" applyFont="1" applyFill="1" applyBorder="1" applyAlignment="1">
      <alignment horizontal="left" vertical="top" wrapText="1"/>
    </xf>
    <xf numFmtId="0" fontId="83" fillId="13" borderId="46" xfId="0" applyFont="1" applyFill="1" applyBorder="1" applyAlignment="1">
      <alignment horizontal="left" vertical="top" wrapText="1"/>
    </xf>
    <xf numFmtId="0" fontId="89" fillId="13" borderId="10"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0" fillId="13" borderId="38" xfId="0" applyFont="1" applyFill="1" applyBorder="1" applyAlignment="1">
      <alignment horizontal="center" vertical="center" wrapText="1"/>
    </xf>
    <xf numFmtId="0" fontId="80" fillId="13" borderId="39" xfId="0" applyFont="1" applyFill="1" applyBorder="1" applyAlignment="1">
      <alignment horizontal="center" vertical="center" wrapText="1"/>
    </xf>
    <xf numFmtId="0" fontId="80" fillId="13" borderId="40" xfId="0" applyFont="1" applyFill="1" applyBorder="1" applyAlignment="1">
      <alignment horizontal="center" vertical="center" wrapText="1"/>
    </xf>
    <xf numFmtId="0" fontId="83" fillId="13" borderId="10" xfId="0" applyFont="1" applyFill="1" applyBorder="1" applyAlignment="1">
      <alignment horizontal="center" vertical="top" wrapText="1"/>
    </xf>
    <xf numFmtId="0" fontId="80" fillId="13" borderId="10" xfId="0" applyFont="1" applyFill="1" applyBorder="1" applyAlignment="1">
      <alignment horizontal="center" vertical="center" wrapText="1"/>
    </xf>
    <xf numFmtId="0" fontId="83" fillId="13" borderId="21" xfId="0" applyFont="1" applyFill="1" applyBorder="1" applyAlignment="1">
      <alignment horizontal="left" vertical="top" wrapText="1"/>
    </xf>
    <xf numFmtId="0" fontId="83" fillId="13" borderId="39" xfId="0" applyFont="1" applyFill="1" applyBorder="1" applyAlignment="1">
      <alignment horizontal="left" vertical="top" wrapText="1"/>
    </xf>
    <xf numFmtId="14" fontId="90" fillId="13" borderId="10" xfId="0" applyNumberFormat="1" applyFont="1" applyFill="1" applyBorder="1" applyAlignment="1">
      <alignment horizontal="center" vertical="center" wrapText="1"/>
    </xf>
    <xf numFmtId="9" fontId="96" fillId="13" borderId="49" xfId="54" applyFont="1" applyFill="1" applyBorder="1" applyAlignment="1">
      <alignment horizontal="center" vertical="center" wrapText="1"/>
    </xf>
    <xf numFmtId="9" fontId="96" fillId="13" borderId="50" xfId="54" applyFont="1" applyFill="1" applyBorder="1" applyAlignment="1">
      <alignment horizontal="center" vertical="center" wrapText="1"/>
    </xf>
    <xf numFmtId="9" fontId="96" fillId="13" borderId="43" xfId="54" applyFont="1" applyFill="1" applyBorder="1" applyAlignment="1">
      <alignment horizontal="center" vertical="center" wrapText="1"/>
    </xf>
    <xf numFmtId="9" fontId="96" fillId="13" borderId="44" xfId="54" applyFont="1" applyFill="1" applyBorder="1" applyAlignment="1">
      <alignment horizontal="center" vertical="center" wrapText="1"/>
    </xf>
    <xf numFmtId="165" fontId="96" fillId="10" borderId="42" xfId="54" applyNumberFormat="1" applyFont="1" applyFill="1" applyBorder="1" applyAlignment="1">
      <alignment horizontal="center" vertical="center" wrapText="1"/>
    </xf>
    <xf numFmtId="165" fontId="96" fillId="10" borderId="43" xfId="54" applyNumberFormat="1" applyFont="1" applyFill="1" applyBorder="1" applyAlignment="1">
      <alignment horizontal="center" vertical="center" wrapText="1"/>
    </xf>
    <xf numFmtId="165" fontId="96" fillId="10" borderId="44" xfId="54" applyNumberFormat="1" applyFont="1" applyFill="1" applyBorder="1" applyAlignment="1">
      <alignment horizontal="center" vertical="center" wrapText="1"/>
    </xf>
    <xf numFmtId="165" fontId="96" fillId="34" borderId="49" xfId="54" applyNumberFormat="1" applyFont="1" applyFill="1" applyBorder="1" applyAlignment="1">
      <alignment horizontal="center" vertical="center" wrapText="1"/>
    </xf>
    <xf numFmtId="165" fontId="96" fillId="34" borderId="50" xfId="54" applyNumberFormat="1" applyFont="1" applyFill="1" applyBorder="1" applyAlignment="1">
      <alignment horizontal="center" vertical="center" wrapText="1"/>
    </xf>
    <xf numFmtId="165" fontId="96" fillId="34" borderId="51" xfId="54" applyNumberFormat="1" applyFont="1" applyFill="1" applyBorder="1" applyAlignment="1">
      <alignment horizontal="center" vertical="center" wrapText="1"/>
    </xf>
    <xf numFmtId="0" fontId="89" fillId="10" borderId="10" xfId="0" applyNumberFormat="1" applyFont="1" applyFill="1" applyBorder="1" applyAlignment="1">
      <alignment horizontal="center" vertical="center" wrapText="1"/>
    </xf>
    <xf numFmtId="9" fontId="84" fillId="13" borderId="10" xfId="0" applyNumberFormat="1" applyFont="1" applyFill="1" applyBorder="1" applyAlignment="1">
      <alignment horizontal="left" vertical="top" wrapText="1"/>
    </xf>
    <xf numFmtId="0" fontId="80" fillId="33" borderId="38" xfId="0" applyFont="1" applyFill="1" applyBorder="1" applyAlignment="1">
      <alignment horizontal="center" vertical="center"/>
    </xf>
    <xf numFmtId="0" fontId="80" fillId="33" borderId="39" xfId="0" applyFont="1" applyFill="1" applyBorder="1" applyAlignment="1">
      <alignment horizontal="center" vertical="center"/>
    </xf>
    <xf numFmtId="0" fontId="83" fillId="33" borderId="19" xfId="0" applyFont="1" applyFill="1" applyBorder="1" applyAlignment="1">
      <alignment horizontal="left" vertical="top" wrapText="1"/>
    </xf>
    <xf numFmtId="0" fontId="83" fillId="33" borderId="46" xfId="0" applyFont="1" applyFill="1" applyBorder="1" applyAlignment="1">
      <alignment horizontal="left" vertical="top" wrapText="1"/>
    </xf>
    <xf numFmtId="0" fontId="80" fillId="33" borderId="40" xfId="0" applyFont="1" applyFill="1" applyBorder="1" applyAlignment="1">
      <alignment horizontal="center" vertical="center"/>
    </xf>
    <xf numFmtId="0" fontId="83" fillId="33" borderId="45" xfId="0" applyFont="1" applyFill="1" applyBorder="1" applyAlignment="1">
      <alignment horizontal="left" vertical="top" wrapText="1"/>
    </xf>
    <xf numFmtId="0" fontId="83" fillId="33" borderId="10" xfId="0" applyFont="1" applyFill="1" applyBorder="1" applyAlignment="1">
      <alignment vertical="top" wrapText="1"/>
    </xf>
    <xf numFmtId="0" fontId="83" fillId="3" borderId="52" xfId="0" applyFont="1" applyFill="1" applyBorder="1" applyAlignment="1">
      <alignment horizontal="left" vertical="top" wrapText="1"/>
    </xf>
    <xf numFmtId="0" fontId="83" fillId="3" borderId="20" xfId="0" applyFont="1" applyFill="1" applyBorder="1" applyAlignment="1">
      <alignment horizontal="left" vertical="top" wrapText="1"/>
    </xf>
    <xf numFmtId="0" fontId="83" fillId="3" borderId="53" xfId="0" applyFont="1" applyFill="1" applyBorder="1" applyAlignment="1">
      <alignment horizontal="left" vertical="top" wrapText="1"/>
    </xf>
    <xf numFmtId="0" fontId="83" fillId="13" borderId="14" xfId="0" applyFont="1" applyFill="1" applyBorder="1" applyAlignment="1">
      <alignment horizontal="center" vertical="top" wrapText="1"/>
    </xf>
    <xf numFmtId="0" fontId="80" fillId="10" borderId="47" xfId="0" applyFont="1" applyFill="1" applyBorder="1" applyAlignment="1">
      <alignment horizontal="center" vertical="center"/>
    </xf>
    <xf numFmtId="0" fontId="83" fillId="10" borderId="10" xfId="0" applyFont="1" applyFill="1" applyBorder="1" applyAlignment="1">
      <alignment horizontal="center" vertical="top" wrapText="1"/>
    </xf>
    <xf numFmtId="0" fontId="83" fillId="10" borderId="14" xfId="0" applyFont="1" applyFill="1" applyBorder="1" applyAlignment="1">
      <alignment horizontal="center" vertical="top" wrapText="1"/>
    </xf>
    <xf numFmtId="0" fontId="80" fillId="10" borderId="54" xfId="0" applyFont="1" applyFill="1" applyBorder="1" applyAlignment="1">
      <alignment horizontal="center" vertical="center"/>
    </xf>
    <xf numFmtId="0" fontId="80" fillId="10" borderId="55" xfId="0" applyFont="1" applyFill="1" applyBorder="1" applyAlignment="1">
      <alignment horizontal="center" vertical="center"/>
    </xf>
    <xf numFmtId="14" fontId="90" fillId="13" borderId="11" xfId="0" applyNumberFormat="1"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0" borderId="11" xfId="0" applyFont="1" applyFill="1" applyBorder="1" applyAlignment="1">
      <alignment horizontal="center" vertical="center"/>
    </xf>
    <xf numFmtId="0" fontId="89" fillId="10" borderId="10" xfId="0" applyFont="1" applyFill="1" applyBorder="1" applyAlignment="1">
      <alignment horizontal="center" vertical="center"/>
    </xf>
    <xf numFmtId="14" fontId="90" fillId="10" borderId="11" xfId="0" applyNumberFormat="1" applyFont="1" applyFill="1" applyBorder="1" applyAlignment="1">
      <alignment horizontal="center" vertical="center" wrapText="1"/>
    </xf>
    <xf numFmtId="0" fontId="83" fillId="13" borderId="10" xfId="0" applyNumberFormat="1" applyFont="1" applyFill="1" applyBorder="1" applyAlignment="1">
      <alignment horizontal="left" vertical="top" wrapText="1"/>
    </xf>
    <xf numFmtId="9" fontId="83" fillId="13" borderId="10" xfId="0" applyNumberFormat="1" applyFont="1" applyFill="1" applyBorder="1" applyAlignment="1">
      <alignment horizontal="left" vertical="top" wrapText="1"/>
    </xf>
    <xf numFmtId="9" fontId="89" fillId="13" borderId="10" xfId="0" applyNumberFormat="1" applyFont="1" applyFill="1" applyBorder="1" applyAlignment="1">
      <alignment horizontal="center" vertical="center" wrapText="1"/>
    </xf>
    <xf numFmtId="0" fontId="89" fillId="13" borderId="10" xfId="0" applyNumberFormat="1" applyFont="1" applyFill="1" applyBorder="1" applyAlignment="1">
      <alignment horizontal="center" vertical="center" wrapText="1"/>
    </xf>
    <xf numFmtId="0" fontId="97" fillId="0" borderId="19" xfId="0" applyFont="1" applyBorder="1" applyAlignment="1">
      <alignment horizontal="center" wrapText="1"/>
    </xf>
    <xf numFmtId="0" fontId="97" fillId="0" borderId="56" xfId="0" applyFont="1" applyBorder="1" applyAlignment="1">
      <alignment horizontal="center"/>
    </xf>
    <xf numFmtId="0" fontId="97" fillId="0" borderId="49" xfId="0" applyFont="1" applyBorder="1" applyAlignment="1">
      <alignment horizontal="center"/>
    </xf>
    <xf numFmtId="0" fontId="12" fillId="0" borderId="5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164" fontId="9" fillId="0" borderId="10" xfId="47" applyNumberFormat="1" applyFont="1" applyFill="1" applyBorder="1" applyAlignment="1">
      <alignment horizontal="center" vertical="center" wrapText="1"/>
    </xf>
    <xf numFmtId="164" fontId="9" fillId="0" borderId="23" xfId="47" applyNumberFormat="1" applyFont="1" applyFill="1" applyBorder="1" applyAlignment="1">
      <alignment horizontal="center" vertical="center" wrapText="1"/>
    </xf>
    <xf numFmtId="164" fontId="12" fillId="0" borderId="11" xfId="47" applyNumberFormat="1" applyFont="1" applyFill="1" applyBorder="1" applyAlignment="1">
      <alignment horizontal="center" vertical="center" wrapText="1"/>
    </xf>
    <xf numFmtId="164" fontId="12" fillId="0" borderId="22" xfId="47"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9" fontId="96" fillId="33" borderId="58" xfId="0" applyNumberFormat="1" applyFont="1" applyFill="1" applyBorder="1" applyAlignment="1">
      <alignment horizontal="center" vertical="center" wrapText="1"/>
    </xf>
    <xf numFmtId="9" fontId="96" fillId="33" borderId="59" xfId="0" applyNumberFormat="1" applyFont="1" applyFill="1" applyBorder="1" applyAlignment="1">
      <alignment horizontal="center" vertical="center" wrapText="1"/>
    </xf>
    <xf numFmtId="9" fontId="96" fillId="33" borderId="60" xfId="0" applyNumberFormat="1" applyFont="1" applyFill="1" applyBorder="1" applyAlignment="1">
      <alignment horizontal="center" vertical="center" wrapText="1"/>
    </xf>
    <xf numFmtId="9" fontId="96" fillId="33" borderId="61" xfId="0" applyNumberFormat="1" applyFont="1" applyFill="1" applyBorder="1" applyAlignment="1">
      <alignment horizontal="center" vertical="center" wrapText="1"/>
    </xf>
    <xf numFmtId="9" fontId="96" fillId="33" borderId="62" xfId="0" applyNumberFormat="1" applyFont="1" applyFill="1" applyBorder="1" applyAlignment="1">
      <alignment horizontal="center" vertical="center" wrapText="1"/>
    </xf>
    <xf numFmtId="0" fontId="89" fillId="3" borderId="11" xfId="0" applyFont="1" applyFill="1" applyBorder="1" applyAlignment="1">
      <alignment horizontal="center" vertical="center"/>
    </xf>
    <xf numFmtId="0" fontId="83" fillId="10" borderId="10" xfId="0" applyFont="1" applyFill="1" applyBorder="1" applyAlignment="1">
      <alignment horizontal="left" vertical="top" wrapText="1"/>
    </xf>
    <xf numFmtId="14" fontId="90" fillId="33" borderId="10" xfId="0" applyNumberFormat="1" applyFont="1" applyFill="1" applyBorder="1" applyAlignment="1">
      <alignment horizontal="center" vertical="center" wrapText="1"/>
    </xf>
    <xf numFmtId="0" fontId="80" fillId="33" borderId="47" xfId="0" applyFont="1" applyFill="1" applyBorder="1" applyAlignment="1">
      <alignment horizontal="center" vertical="center"/>
    </xf>
    <xf numFmtId="0" fontId="83" fillId="33" borderId="52" xfId="0" applyFont="1" applyFill="1" applyBorder="1" applyAlignment="1">
      <alignment horizontal="left" vertical="top" wrapText="1"/>
    </xf>
    <xf numFmtId="0" fontId="83" fillId="33" borderId="20" xfId="0" applyFont="1" applyFill="1" applyBorder="1" applyAlignment="1">
      <alignment horizontal="left" vertical="top" wrapText="1"/>
    </xf>
    <xf numFmtId="0" fontId="83" fillId="33" borderId="53" xfId="0" applyFont="1" applyFill="1" applyBorder="1" applyAlignment="1">
      <alignment horizontal="left" vertical="top" wrapText="1"/>
    </xf>
    <xf numFmtId="0" fontId="83" fillId="33" borderId="12" xfId="0" applyFont="1" applyFill="1" applyBorder="1" applyAlignment="1">
      <alignment horizontal="center" vertical="top" wrapText="1"/>
    </xf>
    <xf numFmtId="0" fontId="89" fillId="33" borderId="12" xfId="0" applyFont="1" applyFill="1" applyBorder="1" applyAlignment="1">
      <alignment horizontal="center" vertical="center"/>
    </xf>
    <xf numFmtId="14" fontId="90" fillId="33" borderId="12" xfId="0" applyNumberFormat="1" applyFont="1" applyFill="1" applyBorder="1" applyAlignment="1">
      <alignment horizontal="center" vertical="center" wrapText="1"/>
    </xf>
    <xf numFmtId="0" fontId="80" fillId="33" borderId="41" xfId="0" applyFont="1" applyFill="1" applyBorder="1" applyAlignment="1">
      <alignment horizontal="center" vertical="center"/>
    </xf>
    <xf numFmtId="14" fontId="90" fillId="33" borderId="11" xfId="0" applyNumberFormat="1" applyFont="1" applyFill="1" applyBorder="1" applyAlignment="1">
      <alignment horizontal="center" vertical="center" wrapText="1"/>
    </xf>
    <xf numFmtId="0" fontId="96" fillId="0" borderId="0" xfId="0" applyFont="1" applyBorder="1" applyAlignment="1">
      <alignment horizontal="center" vertical="top"/>
    </xf>
    <xf numFmtId="0" fontId="96" fillId="0" borderId="0" xfId="0" applyFont="1" applyAlignment="1">
      <alignment horizontal="center" vertical="top"/>
    </xf>
    <xf numFmtId="165" fontId="96" fillId="3" borderId="42" xfId="0" applyNumberFormat="1" applyFont="1" applyFill="1" applyBorder="1" applyAlignment="1">
      <alignment horizontal="center" vertical="center" wrapText="1"/>
    </xf>
    <xf numFmtId="165" fontId="96" fillId="3" borderId="43" xfId="0" applyNumberFormat="1" applyFont="1" applyFill="1" applyBorder="1" applyAlignment="1">
      <alignment horizontal="center" vertical="center" wrapText="1"/>
    </xf>
    <xf numFmtId="165" fontId="96" fillId="3" borderId="44" xfId="0" applyNumberFormat="1" applyFont="1" applyFill="1" applyBorder="1" applyAlignment="1">
      <alignment horizontal="center" vertical="center" wrapText="1"/>
    </xf>
    <xf numFmtId="0" fontId="98" fillId="0" borderId="20" xfId="0" applyFont="1" applyBorder="1" applyAlignment="1">
      <alignment horizontal="center" vertical="top"/>
    </xf>
    <xf numFmtId="0" fontId="99" fillId="0" borderId="20" xfId="0" applyFont="1" applyBorder="1" applyAlignment="1">
      <alignment horizontal="center" vertical="top"/>
    </xf>
    <xf numFmtId="0" fontId="26" fillId="0" borderId="54" xfId="0" applyFont="1" applyBorder="1" applyAlignment="1">
      <alignment horizontal="center" vertical="top"/>
    </xf>
    <xf numFmtId="0" fontId="26" fillId="0" borderId="45" xfId="0" applyFont="1" applyBorder="1" applyAlignment="1">
      <alignment horizontal="center" vertical="top"/>
    </xf>
    <xf numFmtId="0" fontId="26" fillId="0" borderId="55" xfId="0" applyFont="1" applyBorder="1" applyAlignment="1">
      <alignment horizontal="center" vertical="top"/>
    </xf>
    <xf numFmtId="0" fontId="26" fillId="0" borderId="46" xfId="0" applyFont="1" applyBorder="1" applyAlignment="1">
      <alignment horizontal="center" vertical="top"/>
    </xf>
    <xf numFmtId="0" fontId="95" fillId="36" borderId="58" xfId="0" applyFont="1" applyFill="1" applyBorder="1" applyAlignment="1">
      <alignment horizontal="center" vertical="top" wrapText="1"/>
    </xf>
    <xf numFmtId="0" fontId="95" fillId="36" borderId="59" xfId="0" applyFont="1" applyFill="1" applyBorder="1" applyAlignment="1">
      <alignment horizontal="center" vertical="top" wrapText="1"/>
    </xf>
    <xf numFmtId="0" fontId="95" fillId="36" borderId="60" xfId="0" applyFont="1" applyFill="1" applyBorder="1" applyAlignment="1">
      <alignment horizontal="center" vertical="top" wrapText="1"/>
    </xf>
    <xf numFmtId="0" fontId="95" fillId="36" borderId="61" xfId="0" applyFont="1" applyFill="1" applyBorder="1" applyAlignment="1">
      <alignment horizontal="center" vertical="top" wrapText="1"/>
    </xf>
    <xf numFmtId="0" fontId="95" fillId="36" borderId="62" xfId="0" applyFont="1" applyFill="1" applyBorder="1" applyAlignment="1">
      <alignment horizontal="center" vertical="top" wrapText="1"/>
    </xf>
    <xf numFmtId="0" fontId="26" fillId="0" borderId="20" xfId="0" applyFont="1" applyBorder="1" applyAlignment="1">
      <alignment horizontal="center" vertical="top"/>
    </xf>
    <xf numFmtId="0" fontId="83" fillId="33" borderId="12" xfId="0" applyFont="1" applyFill="1" applyBorder="1" applyAlignment="1">
      <alignment vertical="top" wrapText="1"/>
    </xf>
    <xf numFmtId="0" fontId="89" fillId="33" borderId="12" xfId="0" applyNumberFormat="1" applyFont="1" applyFill="1" applyBorder="1" applyAlignment="1">
      <alignment horizontal="center" vertical="center" wrapText="1"/>
    </xf>
    <xf numFmtId="0" fontId="100" fillId="0" borderId="43" xfId="0" applyFont="1" applyBorder="1" applyAlignment="1">
      <alignment horizontal="center" vertical="top"/>
    </xf>
    <xf numFmtId="0" fontId="100" fillId="0" borderId="59" xfId="0" applyFont="1" applyBorder="1" applyAlignment="1">
      <alignment horizontal="center" vertical="top"/>
    </xf>
    <xf numFmtId="0" fontId="83" fillId="3" borderId="14" xfId="0" applyFont="1" applyFill="1" applyBorder="1" applyAlignment="1">
      <alignment vertical="top" wrapText="1"/>
    </xf>
    <xf numFmtId="14" fontId="90" fillId="3" borderId="14" xfId="0" applyNumberFormat="1" applyFont="1" applyFill="1" applyBorder="1" applyAlignment="1">
      <alignment horizontal="center" vertical="center" wrapText="1"/>
    </xf>
    <xf numFmtId="0" fontId="83" fillId="33" borderId="11" xfId="0" applyFont="1" applyFill="1" applyBorder="1" applyAlignment="1">
      <alignment horizontal="left" vertical="top" wrapText="1"/>
    </xf>
    <xf numFmtId="0" fontId="83" fillId="33" borderId="10" xfId="0" applyFont="1" applyFill="1" applyBorder="1" applyAlignment="1">
      <alignment horizontal="left" vertical="top" wrapText="1"/>
    </xf>
    <xf numFmtId="0" fontId="95" fillId="37" borderId="42" xfId="0" applyFont="1" applyFill="1" applyBorder="1" applyAlignment="1">
      <alignment horizontal="center" vertical="top" wrapText="1"/>
    </xf>
    <xf numFmtId="0" fontId="95" fillId="37" borderId="43" xfId="0" applyFont="1" applyFill="1" applyBorder="1" applyAlignment="1">
      <alignment horizontal="center" vertical="top" wrapText="1"/>
    </xf>
    <xf numFmtId="0" fontId="95" fillId="37" borderId="44" xfId="0" applyFont="1" applyFill="1" applyBorder="1" applyAlignment="1">
      <alignment horizontal="center" vertical="top" wrapText="1"/>
    </xf>
    <xf numFmtId="0" fontId="89" fillId="10" borderId="14" xfId="0" applyNumberFormat="1" applyFont="1" applyFill="1" applyBorder="1" applyAlignment="1">
      <alignment horizontal="center" vertical="center" wrapText="1"/>
    </xf>
    <xf numFmtId="0" fontId="89" fillId="3" borderId="11" xfId="0" applyNumberFormat="1" applyFont="1" applyFill="1" applyBorder="1" applyAlignment="1">
      <alignment horizontal="center" vertical="center" wrapText="1"/>
    </xf>
    <xf numFmtId="14" fontId="90" fillId="10" borderId="14" xfId="0" applyNumberFormat="1" applyFont="1" applyFill="1" applyBorder="1" applyAlignment="1">
      <alignment horizontal="center" vertical="center" wrapText="1"/>
    </xf>
    <xf numFmtId="14" fontId="90" fillId="13" borderId="14" xfId="0" applyNumberFormat="1" applyFont="1" applyFill="1" applyBorder="1" applyAlignment="1">
      <alignment horizontal="center" vertical="center" wrapText="1"/>
    </xf>
    <xf numFmtId="0" fontId="89" fillId="13" borderId="11" xfId="0" applyNumberFormat="1" applyFont="1" applyFill="1" applyBorder="1" applyAlignment="1">
      <alignment horizontal="center" vertical="center" wrapText="1"/>
    </xf>
    <xf numFmtId="0" fontId="89" fillId="13" borderId="14" xfId="0" applyNumberFormat="1" applyFont="1" applyFill="1" applyBorder="1" applyAlignment="1">
      <alignment horizontal="center" vertical="center" wrapText="1"/>
    </xf>
    <xf numFmtId="0" fontId="89" fillId="10" borderId="11" xfId="0" applyNumberFormat="1" applyFont="1" applyFill="1" applyBorder="1" applyAlignment="1">
      <alignment horizontal="center" vertical="center" wrapText="1"/>
    </xf>
    <xf numFmtId="0" fontId="89" fillId="3" borderId="14" xfId="0" applyFont="1" applyFill="1" applyBorder="1" applyAlignment="1">
      <alignment horizontal="center" vertical="center"/>
    </xf>
    <xf numFmtId="0" fontId="89" fillId="10" borderId="14" xfId="0" applyFont="1" applyFill="1" applyBorder="1" applyAlignment="1">
      <alignment horizontal="center" vertical="center"/>
    </xf>
    <xf numFmtId="0" fontId="83" fillId="13" borderId="14" xfId="0" applyFont="1" applyFill="1" applyBorder="1" applyAlignment="1">
      <alignment horizontal="left" vertical="top" wrapText="1"/>
    </xf>
    <xf numFmtId="0" fontId="83" fillId="10" borderId="11" xfId="0" applyFont="1" applyFill="1" applyBorder="1" applyAlignment="1">
      <alignment vertical="top" wrapText="1"/>
    </xf>
    <xf numFmtId="0" fontId="83" fillId="10" borderId="10" xfId="0" applyFont="1" applyFill="1" applyBorder="1" applyAlignment="1">
      <alignment vertical="top" wrapText="1"/>
    </xf>
    <xf numFmtId="0" fontId="83" fillId="10" borderId="11"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obre-el-ministerio/talento-human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U95"/>
  <sheetViews>
    <sheetView showGridLines="0" tabSelected="1" zoomScale="70" zoomScaleNormal="7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D5" sqref="D5"/>
    </sheetView>
  </sheetViews>
  <sheetFormatPr defaultColWidth="11.421875" defaultRowHeight="15"/>
  <cols>
    <col min="1" max="1" width="8.57421875" style="31" customWidth="1"/>
    <col min="2" max="2" width="38.140625" style="1" customWidth="1"/>
    <col min="3" max="3" width="12.8515625" style="5" customWidth="1"/>
    <col min="4" max="4" width="37.28125" style="2" customWidth="1"/>
    <col min="5" max="5" width="27.28125" style="1" customWidth="1"/>
    <col min="6" max="6" width="14.00390625" style="1" customWidth="1"/>
    <col min="7" max="7" width="21.28125" style="2" customWidth="1"/>
    <col min="8" max="8" width="13.8515625" style="3" hidden="1" customWidth="1"/>
    <col min="9" max="9" width="10.00390625" style="3" hidden="1" customWidth="1"/>
    <col min="10" max="10" width="29.140625" style="2" customWidth="1"/>
    <col min="11" max="11" width="17.7109375" style="3" customWidth="1"/>
    <col min="12" max="12" width="95.7109375" style="3" customWidth="1"/>
    <col min="13" max="13" width="18.00390625" style="3" customWidth="1"/>
    <col min="14" max="14" width="101.7109375" style="3" customWidth="1"/>
    <col min="15" max="15" width="16.8515625" style="3" customWidth="1"/>
    <col min="16" max="16" width="105.8515625" style="3" customWidth="1"/>
    <col min="17" max="17" width="16.57421875" style="3" customWidth="1"/>
    <col min="18" max="18" width="119.28125" style="3" customWidth="1"/>
    <col min="19" max="19" width="18.7109375" style="1" customWidth="1"/>
    <col min="20" max="20" width="31.7109375" style="214" customWidth="1"/>
    <col min="21" max="21" width="20.8515625" style="3" customWidth="1"/>
    <col min="22" max="16384" width="11.421875" style="1" customWidth="1"/>
  </cols>
  <sheetData>
    <row r="1" spans="1:19" ht="69.75" customHeight="1" thickBot="1">
      <c r="A1" s="48"/>
      <c r="B1" s="350" t="s">
        <v>21</v>
      </c>
      <c r="C1" s="351"/>
      <c r="D1" s="351"/>
      <c r="E1" s="351"/>
      <c r="F1" s="351"/>
      <c r="G1" s="351"/>
      <c r="H1" s="351"/>
      <c r="I1" s="351"/>
      <c r="J1" s="351"/>
      <c r="K1" s="351"/>
      <c r="L1" s="351"/>
      <c r="M1" s="351"/>
      <c r="N1" s="351"/>
      <c r="O1" s="351"/>
      <c r="P1" s="351"/>
      <c r="Q1" s="351"/>
      <c r="R1" s="351"/>
      <c r="S1" s="352"/>
    </row>
    <row r="2" spans="1:19" ht="36" customHeight="1" thickBot="1">
      <c r="A2" s="407"/>
      <c r="B2" s="353" t="s">
        <v>0</v>
      </c>
      <c r="C2" s="356" t="s">
        <v>1</v>
      </c>
      <c r="D2" s="359" t="s">
        <v>2</v>
      </c>
      <c r="E2" s="362" t="s">
        <v>3</v>
      </c>
      <c r="F2" s="362" t="s">
        <v>24</v>
      </c>
      <c r="G2" s="362" t="s">
        <v>19</v>
      </c>
      <c r="H2" s="362" t="s">
        <v>17</v>
      </c>
      <c r="I2" s="362" t="s">
        <v>9</v>
      </c>
      <c r="J2" s="362" t="s">
        <v>11</v>
      </c>
      <c r="K2" s="367" t="s">
        <v>16</v>
      </c>
      <c r="L2" s="367"/>
      <c r="M2" s="367"/>
      <c r="N2" s="367"/>
      <c r="O2" s="367"/>
      <c r="P2" s="367"/>
      <c r="Q2" s="367"/>
      <c r="R2" s="368"/>
      <c r="S2" s="47"/>
    </row>
    <row r="3" spans="1:19" ht="21.75" customHeight="1">
      <c r="A3" s="407"/>
      <c r="B3" s="354"/>
      <c r="C3" s="357"/>
      <c r="D3" s="360"/>
      <c r="E3" s="363"/>
      <c r="F3" s="363"/>
      <c r="G3" s="363"/>
      <c r="H3" s="363"/>
      <c r="I3" s="363"/>
      <c r="J3" s="363"/>
      <c r="K3" s="365" t="s">
        <v>12</v>
      </c>
      <c r="L3" s="365"/>
      <c r="M3" s="365" t="s">
        <v>13</v>
      </c>
      <c r="N3" s="365"/>
      <c r="O3" s="365" t="s">
        <v>14</v>
      </c>
      <c r="P3" s="365"/>
      <c r="Q3" s="365" t="s">
        <v>15</v>
      </c>
      <c r="R3" s="366"/>
      <c r="S3" s="369" t="s">
        <v>20</v>
      </c>
    </row>
    <row r="4" spans="1:19" ht="58.5" customHeight="1" thickBot="1">
      <c r="A4" s="408"/>
      <c r="B4" s="355"/>
      <c r="C4" s="358"/>
      <c r="D4" s="361"/>
      <c r="E4" s="364"/>
      <c r="F4" s="364"/>
      <c r="G4" s="364"/>
      <c r="H4" s="364"/>
      <c r="I4" s="364"/>
      <c r="J4" s="364"/>
      <c r="K4" s="68" t="s">
        <v>248</v>
      </c>
      <c r="L4" s="33" t="s">
        <v>18</v>
      </c>
      <c r="M4" s="68" t="s">
        <v>242</v>
      </c>
      <c r="N4" s="34" t="s">
        <v>18</v>
      </c>
      <c r="O4" s="68" t="s">
        <v>242</v>
      </c>
      <c r="P4" s="34" t="s">
        <v>18</v>
      </c>
      <c r="Q4" s="68" t="s">
        <v>242</v>
      </c>
      <c r="R4" s="35" t="s">
        <v>18</v>
      </c>
      <c r="S4" s="370"/>
    </row>
    <row r="5" spans="1:21" s="4" customFormat="1" ht="249.75" customHeight="1" thickBot="1">
      <c r="A5" s="49">
        <v>1</v>
      </c>
      <c r="B5" s="413" t="s">
        <v>4</v>
      </c>
      <c r="C5" s="32" t="s">
        <v>10</v>
      </c>
      <c r="D5" s="50" t="s">
        <v>79</v>
      </c>
      <c r="E5" s="123" t="s">
        <v>68</v>
      </c>
      <c r="F5" s="124" t="s">
        <v>25</v>
      </c>
      <c r="G5" s="125" t="s">
        <v>144</v>
      </c>
      <c r="H5" s="126">
        <v>42735</v>
      </c>
      <c r="I5" s="127" t="s">
        <v>82</v>
      </c>
      <c r="J5" s="128" t="s">
        <v>563</v>
      </c>
      <c r="K5" s="93">
        <f>(100%*307)/9000</f>
        <v>0.03411111111111111</v>
      </c>
      <c r="L5" s="94" t="s">
        <v>257</v>
      </c>
      <c r="M5" s="93">
        <f>(100%*1338)/9000</f>
        <v>0.14866666666666667</v>
      </c>
      <c r="N5" s="94" t="s">
        <v>258</v>
      </c>
      <c r="O5" s="93">
        <f>(100%*2399)/9000</f>
        <v>0.26655555555555555</v>
      </c>
      <c r="P5" s="91" t="s">
        <v>259</v>
      </c>
      <c r="Q5" s="241">
        <f>(100%*9000)/9000</f>
        <v>1</v>
      </c>
      <c r="R5" s="240" t="s">
        <v>552</v>
      </c>
      <c r="S5" s="320">
        <f>(Q5+Q6+Q7+Q8+Q9+Q10+Q11+Q12+Q13+Q14+Q15+Q16+Q17+Q18+Q19)/15</f>
        <v>0.9906776859916325</v>
      </c>
      <c r="T5" s="214"/>
      <c r="U5" s="3"/>
    </row>
    <row r="6" spans="1:21" s="4" customFormat="1" ht="278.25" customHeight="1" thickBot="1">
      <c r="A6" s="49">
        <v>2</v>
      </c>
      <c r="B6" s="414"/>
      <c r="C6" s="32" t="s">
        <v>10</v>
      </c>
      <c r="D6" s="50" t="s">
        <v>80</v>
      </c>
      <c r="E6" s="102" t="s">
        <v>69</v>
      </c>
      <c r="F6" s="103" t="s">
        <v>25</v>
      </c>
      <c r="G6" s="104" t="s">
        <v>144</v>
      </c>
      <c r="H6" s="105">
        <v>42735</v>
      </c>
      <c r="I6" s="106" t="s">
        <v>82</v>
      </c>
      <c r="J6" s="107" t="s">
        <v>101</v>
      </c>
      <c r="K6" s="84">
        <f>(100%*777)/33500</f>
        <v>0.02319402985074627</v>
      </c>
      <c r="L6" s="86" t="s">
        <v>260</v>
      </c>
      <c r="M6" s="84">
        <f>(100%*17922/33500)</f>
        <v>0.5349850746268656</v>
      </c>
      <c r="N6" s="183" t="s">
        <v>261</v>
      </c>
      <c r="O6" s="84">
        <f>(100%*24992)/33500</f>
        <v>0.7460298507462687</v>
      </c>
      <c r="P6" s="91" t="s">
        <v>262</v>
      </c>
      <c r="Q6" s="242">
        <f>(100%*31843)/33500</f>
        <v>0.9505373134328359</v>
      </c>
      <c r="R6" s="91" t="s">
        <v>546</v>
      </c>
      <c r="S6" s="321"/>
      <c r="T6" s="214"/>
      <c r="U6" s="3"/>
    </row>
    <row r="7" spans="1:21" s="4" customFormat="1" ht="244.5" customHeight="1" thickBot="1">
      <c r="A7" s="49">
        <v>3</v>
      </c>
      <c r="B7" s="414"/>
      <c r="C7" s="32" t="s">
        <v>10</v>
      </c>
      <c r="D7" s="50" t="s">
        <v>77</v>
      </c>
      <c r="E7" s="102" t="s">
        <v>70</v>
      </c>
      <c r="F7" s="103" t="s">
        <v>25</v>
      </c>
      <c r="G7" s="104" t="s">
        <v>144</v>
      </c>
      <c r="H7" s="105">
        <v>42735</v>
      </c>
      <c r="I7" s="106" t="s">
        <v>82</v>
      </c>
      <c r="J7" s="107" t="s">
        <v>102</v>
      </c>
      <c r="K7" s="84">
        <f>(100%*4016)/20000</f>
        <v>0.2008</v>
      </c>
      <c r="L7" s="86" t="s">
        <v>263</v>
      </c>
      <c r="M7" s="84">
        <f>(100%*16765)/20000</f>
        <v>0.83825</v>
      </c>
      <c r="N7" s="86" t="s">
        <v>264</v>
      </c>
      <c r="O7" s="215">
        <f>(100%*20000)/20000</f>
        <v>1</v>
      </c>
      <c r="P7" s="91" t="s">
        <v>553</v>
      </c>
      <c r="Q7" s="215">
        <f>(100%*20000)/20000</f>
        <v>1</v>
      </c>
      <c r="R7" s="91" t="s">
        <v>554</v>
      </c>
      <c r="S7" s="321"/>
      <c r="T7" s="214"/>
      <c r="U7" s="3"/>
    </row>
    <row r="8" spans="1:21" s="4" customFormat="1" ht="249.75" customHeight="1" thickBot="1">
      <c r="A8" s="49">
        <v>4</v>
      </c>
      <c r="B8" s="414"/>
      <c r="C8" s="32" t="s">
        <v>10</v>
      </c>
      <c r="D8" s="50" t="s">
        <v>78</v>
      </c>
      <c r="E8" s="102" t="s">
        <v>71</v>
      </c>
      <c r="F8" s="103" t="s">
        <v>25</v>
      </c>
      <c r="G8" s="104" t="s">
        <v>144</v>
      </c>
      <c r="H8" s="105">
        <v>42735</v>
      </c>
      <c r="I8" s="108" t="s">
        <v>82</v>
      </c>
      <c r="J8" s="107" t="s">
        <v>103</v>
      </c>
      <c r="K8" s="84">
        <f>(100%*0)/500</f>
        <v>0</v>
      </c>
      <c r="L8" s="86" t="s">
        <v>265</v>
      </c>
      <c r="M8" s="84">
        <f>(100%*0)/500</f>
        <v>0</v>
      </c>
      <c r="N8" s="86" t="s">
        <v>266</v>
      </c>
      <c r="O8" s="84">
        <f>(100%*0)/500</f>
        <v>0</v>
      </c>
      <c r="P8" s="91" t="s">
        <v>267</v>
      </c>
      <c r="Q8" s="230">
        <f>(100%*500)/500</f>
        <v>1</v>
      </c>
      <c r="R8" s="91" t="s">
        <v>555</v>
      </c>
      <c r="S8" s="321"/>
      <c r="T8" s="214"/>
      <c r="U8" s="3"/>
    </row>
    <row r="9" spans="1:21" s="4" customFormat="1" ht="408.75" customHeight="1" thickBot="1">
      <c r="A9" s="49">
        <v>5</v>
      </c>
      <c r="B9" s="414"/>
      <c r="C9" s="32" t="s">
        <v>10</v>
      </c>
      <c r="D9" s="51" t="s">
        <v>74</v>
      </c>
      <c r="E9" s="109" t="s">
        <v>229</v>
      </c>
      <c r="F9" s="103" t="s">
        <v>25</v>
      </c>
      <c r="G9" s="104" t="s">
        <v>145</v>
      </c>
      <c r="H9" s="105">
        <v>42735</v>
      </c>
      <c r="I9" s="110" t="s">
        <v>82</v>
      </c>
      <c r="J9" s="111" t="s">
        <v>104</v>
      </c>
      <c r="K9" s="84">
        <f>(100%*2)/130</f>
        <v>0.015384615384615385</v>
      </c>
      <c r="L9" s="91" t="s">
        <v>269</v>
      </c>
      <c r="M9" s="84">
        <f>(100%*37)/130</f>
        <v>0.2846153846153846</v>
      </c>
      <c r="N9" s="87" t="s">
        <v>268</v>
      </c>
      <c r="O9" s="84">
        <f>(100%*119)/130</f>
        <v>0.9153846153846154</v>
      </c>
      <c r="P9" s="231" t="s">
        <v>549</v>
      </c>
      <c r="Q9" s="230">
        <f>(100%*130)/130</f>
        <v>1</v>
      </c>
      <c r="R9" s="229" t="s">
        <v>556</v>
      </c>
      <c r="S9" s="321"/>
      <c r="T9" s="214"/>
      <c r="U9" s="3"/>
    </row>
    <row r="10" spans="1:21" s="4" customFormat="1" ht="394.5" customHeight="1" thickBot="1">
      <c r="A10" s="49">
        <v>6</v>
      </c>
      <c r="B10" s="414"/>
      <c r="C10" s="32" t="s">
        <v>10</v>
      </c>
      <c r="D10" s="51" t="s">
        <v>75</v>
      </c>
      <c r="E10" s="109" t="s">
        <v>228</v>
      </c>
      <c r="F10" s="103" t="s">
        <v>25</v>
      </c>
      <c r="G10" s="104" t="s">
        <v>146</v>
      </c>
      <c r="H10" s="105">
        <v>42735</v>
      </c>
      <c r="I10" s="110" t="s">
        <v>82</v>
      </c>
      <c r="J10" s="111" t="s">
        <v>127</v>
      </c>
      <c r="K10" s="84">
        <f>(100%*1)/80</f>
        <v>0.0125</v>
      </c>
      <c r="L10" s="91" t="s">
        <v>270</v>
      </c>
      <c r="M10" s="84">
        <f>(100%*14)/80</f>
        <v>0.175</v>
      </c>
      <c r="N10" s="88" t="s">
        <v>271</v>
      </c>
      <c r="O10" s="84">
        <f>(100%*76)/80</f>
        <v>0.95</v>
      </c>
      <c r="P10" s="95" t="s">
        <v>272</v>
      </c>
      <c r="Q10" s="230">
        <f>(100%*80)/80</f>
        <v>1</v>
      </c>
      <c r="R10" s="231" t="s">
        <v>531</v>
      </c>
      <c r="S10" s="321"/>
      <c r="T10" s="214"/>
      <c r="U10" s="3"/>
    </row>
    <row r="11" spans="1:21" s="4" customFormat="1" ht="390" customHeight="1" thickBot="1">
      <c r="A11" s="49">
        <v>7</v>
      </c>
      <c r="B11" s="414"/>
      <c r="C11" s="32" t="s">
        <v>10</v>
      </c>
      <c r="D11" s="51" t="s">
        <v>76</v>
      </c>
      <c r="E11" s="109" t="s">
        <v>227</v>
      </c>
      <c r="F11" s="103" t="s">
        <v>25</v>
      </c>
      <c r="G11" s="104" t="s">
        <v>147</v>
      </c>
      <c r="H11" s="105">
        <v>42735</v>
      </c>
      <c r="I11" s="110" t="s">
        <v>82</v>
      </c>
      <c r="J11" s="112" t="s">
        <v>133</v>
      </c>
      <c r="K11" s="84">
        <f>(100%*17)/130</f>
        <v>0.13076923076923078</v>
      </c>
      <c r="L11" s="86" t="s">
        <v>273</v>
      </c>
      <c r="M11" s="84">
        <f>(100%*36)/130</f>
        <v>0.27692307692307694</v>
      </c>
      <c r="N11" s="88" t="s">
        <v>274</v>
      </c>
      <c r="O11" s="84">
        <f>(100%*118)/130</f>
        <v>0.9076923076923077</v>
      </c>
      <c r="P11" s="232" t="s">
        <v>558</v>
      </c>
      <c r="Q11" s="230">
        <f>(100%*130)/130</f>
        <v>1</v>
      </c>
      <c r="R11" s="232" t="s">
        <v>557</v>
      </c>
      <c r="S11" s="321"/>
      <c r="T11" s="214"/>
      <c r="U11" s="3"/>
    </row>
    <row r="12" spans="1:21" s="4" customFormat="1" ht="321" customHeight="1" thickBot="1">
      <c r="A12" s="49">
        <v>8</v>
      </c>
      <c r="B12" s="414"/>
      <c r="C12" s="36" t="s">
        <v>10</v>
      </c>
      <c r="D12" s="50" t="s">
        <v>41</v>
      </c>
      <c r="E12" s="102" t="s">
        <v>67</v>
      </c>
      <c r="F12" s="103" t="s">
        <v>25</v>
      </c>
      <c r="G12" s="104" t="s">
        <v>148</v>
      </c>
      <c r="H12" s="105">
        <v>42735</v>
      </c>
      <c r="I12" s="110" t="s">
        <v>82</v>
      </c>
      <c r="J12" s="188" t="s">
        <v>255</v>
      </c>
      <c r="K12" s="84">
        <f>(100%*226)/500</f>
        <v>0.452</v>
      </c>
      <c r="L12" s="86" t="s">
        <v>275</v>
      </c>
      <c r="M12" s="84">
        <f>(100%*487)/800</f>
        <v>0.60875</v>
      </c>
      <c r="N12" s="89" t="s">
        <v>276</v>
      </c>
      <c r="O12" s="84">
        <f>(100%*780)/800</f>
        <v>0.975</v>
      </c>
      <c r="P12" s="96" t="s">
        <v>277</v>
      </c>
      <c r="Q12" s="215">
        <f>(100%*1000)/1000</f>
        <v>1</v>
      </c>
      <c r="R12" s="237" t="s">
        <v>559</v>
      </c>
      <c r="S12" s="321"/>
      <c r="T12" s="214"/>
      <c r="U12" s="3"/>
    </row>
    <row r="13" spans="1:21" s="4" customFormat="1" ht="374.25" customHeight="1" thickBot="1">
      <c r="A13" s="49">
        <v>9</v>
      </c>
      <c r="B13" s="414"/>
      <c r="C13" s="37" t="s">
        <v>10</v>
      </c>
      <c r="D13" s="92" t="s">
        <v>128</v>
      </c>
      <c r="E13" s="102" t="s">
        <v>66</v>
      </c>
      <c r="F13" s="103" t="s">
        <v>25</v>
      </c>
      <c r="G13" s="104" t="s">
        <v>149</v>
      </c>
      <c r="H13" s="105">
        <v>42735</v>
      </c>
      <c r="I13" s="110" t="s">
        <v>82</v>
      </c>
      <c r="J13" s="188" t="s">
        <v>256</v>
      </c>
      <c r="K13" s="84">
        <f>(100%*127)/250</f>
        <v>0.508</v>
      </c>
      <c r="L13" s="113" t="s">
        <v>278</v>
      </c>
      <c r="M13" s="84">
        <f>(100%*243)/320</f>
        <v>0.759375</v>
      </c>
      <c r="N13" s="89" t="s">
        <v>279</v>
      </c>
      <c r="O13" s="84">
        <f>(100%*320)/320</f>
        <v>1</v>
      </c>
      <c r="P13" s="97" t="s">
        <v>280</v>
      </c>
      <c r="Q13" s="239">
        <f>(100%*450)/450</f>
        <v>1</v>
      </c>
      <c r="R13" s="238" t="s">
        <v>560</v>
      </c>
      <c r="S13" s="321"/>
      <c r="T13" s="214"/>
      <c r="U13" s="3"/>
    </row>
    <row r="14" spans="1:21" s="4" customFormat="1" ht="147" customHeight="1" thickBot="1">
      <c r="A14" s="49">
        <v>10</v>
      </c>
      <c r="B14" s="414"/>
      <c r="C14" s="38" t="s">
        <v>10</v>
      </c>
      <c r="D14" s="50" t="s">
        <v>28</v>
      </c>
      <c r="E14" s="114" t="s">
        <v>30</v>
      </c>
      <c r="F14" s="103" t="s">
        <v>25</v>
      </c>
      <c r="G14" s="115" t="s">
        <v>23</v>
      </c>
      <c r="H14" s="105">
        <v>42735</v>
      </c>
      <c r="I14" s="110">
        <v>0</v>
      </c>
      <c r="J14" s="90" t="s">
        <v>136</v>
      </c>
      <c r="K14" s="84">
        <f>(100%*1901843)/2093749</f>
        <v>0.9083433592087686</v>
      </c>
      <c r="L14" s="116" t="s">
        <v>137</v>
      </c>
      <c r="M14" s="84">
        <f>(100%*1872509)/2093749</f>
        <v>0.8943330838605774</v>
      </c>
      <c r="N14" s="90" t="s">
        <v>281</v>
      </c>
      <c r="O14" s="84">
        <f>(100%*1886236)/2093749</f>
        <v>0.9008892660963659</v>
      </c>
      <c r="P14" s="129" t="s">
        <v>284</v>
      </c>
      <c r="Q14" s="84">
        <f>(100%*1916268)/2093749</f>
        <v>0.9152329147381085</v>
      </c>
      <c r="R14" s="216" t="s">
        <v>483</v>
      </c>
      <c r="S14" s="321"/>
      <c r="T14" s="214"/>
      <c r="U14" s="3"/>
    </row>
    <row r="15" spans="1:19" ht="115.5" customHeight="1" thickBot="1">
      <c r="A15" s="49">
        <v>11</v>
      </c>
      <c r="B15" s="414"/>
      <c r="C15" s="32" t="s">
        <v>10</v>
      </c>
      <c r="D15" s="50" t="s">
        <v>29</v>
      </c>
      <c r="E15" s="114" t="s">
        <v>100</v>
      </c>
      <c r="F15" s="103" t="s">
        <v>25</v>
      </c>
      <c r="G15" s="115" t="s">
        <v>23</v>
      </c>
      <c r="H15" s="105">
        <v>42735</v>
      </c>
      <c r="I15" s="110">
        <v>0</v>
      </c>
      <c r="J15" s="90" t="s">
        <v>105</v>
      </c>
      <c r="K15" s="84">
        <f>(100%*8330)/46200</f>
        <v>0.1803030303030303</v>
      </c>
      <c r="L15" s="116" t="s">
        <v>138</v>
      </c>
      <c r="M15" s="84">
        <f>(100%*19972)/46200</f>
        <v>0.4322943722943723</v>
      </c>
      <c r="N15" s="90" t="s">
        <v>282</v>
      </c>
      <c r="O15" s="84">
        <f>(100%*35393)/46200</f>
        <v>0.766082251082251</v>
      </c>
      <c r="P15" s="129" t="s">
        <v>283</v>
      </c>
      <c r="Q15" s="215">
        <f>(100%*46200)/46200</f>
        <v>1</v>
      </c>
      <c r="R15" s="216" t="s">
        <v>484</v>
      </c>
      <c r="S15" s="321"/>
    </row>
    <row r="16" spans="1:21" s="4" customFormat="1" ht="188.25" customHeight="1" thickBot="1">
      <c r="A16" s="49">
        <v>12</v>
      </c>
      <c r="B16" s="414"/>
      <c r="C16" s="37" t="s">
        <v>10</v>
      </c>
      <c r="D16" s="50" t="s">
        <v>129</v>
      </c>
      <c r="E16" s="102" t="s">
        <v>83</v>
      </c>
      <c r="F16" s="103" t="s">
        <v>33</v>
      </c>
      <c r="G16" s="104" t="s">
        <v>150</v>
      </c>
      <c r="H16" s="117">
        <v>42735</v>
      </c>
      <c r="I16" s="118">
        <v>0.9</v>
      </c>
      <c r="J16" s="119" t="s">
        <v>129</v>
      </c>
      <c r="K16" s="84">
        <f>((630/635)*100%)/4</f>
        <v>0.24803149606299213</v>
      </c>
      <c r="L16" s="86" t="s">
        <v>285</v>
      </c>
      <c r="M16" s="84">
        <f>((630/635)*100%)/4+((815/823)*100%)/4</f>
        <v>0.495601362405641</v>
      </c>
      <c r="N16" s="90" t="s">
        <v>247</v>
      </c>
      <c r="O16" s="84">
        <f>((630/635)*100%)/4+((815/823)*100%)/4+((823/825)*100%)/4</f>
        <v>0.7449953017995804</v>
      </c>
      <c r="P16" s="129" t="s">
        <v>475</v>
      </c>
      <c r="Q16" s="84">
        <f>((630/635)*100%)/4+((815/823)*100%)/4+((823/825)*100%)/4+((831/833)*100%)/4</f>
        <v>0.994395061703542</v>
      </c>
      <c r="R16" s="199" t="s">
        <v>476</v>
      </c>
      <c r="S16" s="321"/>
      <c r="T16" s="233"/>
      <c r="U16" s="214"/>
    </row>
    <row r="17" spans="1:21" s="4" customFormat="1" ht="261.75" customHeight="1" thickBot="1">
      <c r="A17" s="49">
        <v>13</v>
      </c>
      <c r="B17" s="414"/>
      <c r="C17" s="37" t="s">
        <v>10</v>
      </c>
      <c r="D17" s="50" t="s">
        <v>84</v>
      </c>
      <c r="E17" s="102" t="s">
        <v>85</v>
      </c>
      <c r="F17" s="103" t="s">
        <v>25</v>
      </c>
      <c r="G17" s="104" t="s">
        <v>151</v>
      </c>
      <c r="H17" s="117">
        <v>42735</v>
      </c>
      <c r="I17" s="110">
        <v>0</v>
      </c>
      <c r="J17" s="119" t="s">
        <v>106</v>
      </c>
      <c r="K17" s="84">
        <f>(100%*0)/2</f>
        <v>0</v>
      </c>
      <c r="L17" s="86" t="s">
        <v>286</v>
      </c>
      <c r="M17" s="84">
        <f>(100%*2)/2</f>
        <v>1</v>
      </c>
      <c r="N17" s="86" t="s">
        <v>287</v>
      </c>
      <c r="O17" s="215">
        <f>(100%*2)/2</f>
        <v>1</v>
      </c>
      <c r="P17" s="129" t="s">
        <v>252</v>
      </c>
      <c r="Q17" s="215">
        <f>(100%*2)/2</f>
        <v>1</v>
      </c>
      <c r="R17" s="200" t="s">
        <v>472</v>
      </c>
      <c r="S17" s="321"/>
      <c r="T17" s="214"/>
      <c r="U17" s="3"/>
    </row>
    <row r="18" spans="1:21" s="4" customFormat="1" ht="255" customHeight="1" thickBot="1">
      <c r="A18" s="49">
        <v>14</v>
      </c>
      <c r="B18" s="414"/>
      <c r="C18" s="32" t="s">
        <v>10</v>
      </c>
      <c r="D18" s="50" t="s">
        <v>27</v>
      </c>
      <c r="E18" s="102" t="s">
        <v>73</v>
      </c>
      <c r="F18" s="120" t="s">
        <v>33</v>
      </c>
      <c r="G18" s="104" t="s">
        <v>152</v>
      </c>
      <c r="H18" s="105">
        <v>42735</v>
      </c>
      <c r="I18" s="121" t="s">
        <v>82</v>
      </c>
      <c r="J18" s="122" t="s">
        <v>107</v>
      </c>
      <c r="K18" s="84">
        <v>0</v>
      </c>
      <c r="L18" s="96" t="s">
        <v>288</v>
      </c>
      <c r="M18" s="84">
        <v>0</v>
      </c>
      <c r="N18" s="96" t="s">
        <v>288</v>
      </c>
      <c r="O18" s="84">
        <v>0</v>
      </c>
      <c r="P18" s="96" t="s">
        <v>288</v>
      </c>
      <c r="Q18" s="230">
        <v>1</v>
      </c>
      <c r="R18" s="96" t="s">
        <v>547</v>
      </c>
      <c r="S18" s="321"/>
      <c r="T18" s="214"/>
      <c r="U18" s="3"/>
    </row>
    <row r="19" spans="1:21" s="4" customFormat="1" ht="252" customHeight="1" thickBot="1">
      <c r="A19" s="49">
        <v>15</v>
      </c>
      <c r="B19" s="415"/>
      <c r="C19" s="39" t="s">
        <v>10</v>
      </c>
      <c r="D19" s="50" t="s">
        <v>26</v>
      </c>
      <c r="E19" s="130" t="s">
        <v>72</v>
      </c>
      <c r="F19" s="131" t="s">
        <v>33</v>
      </c>
      <c r="G19" s="132" t="s">
        <v>153</v>
      </c>
      <c r="H19" s="133">
        <v>42735</v>
      </c>
      <c r="I19" s="134" t="s">
        <v>82</v>
      </c>
      <c r="J19" s="135" t="s">
        <v>108</v>
      </c>
      <c r="K19" s="136">
        <v>0</v>
      </c>
      <c r="L19" s="137" t="s">
        <v>289</v>
      </c>
      <c r="M19" s="136">
        <v>0</v>
      </c>
      <c r="N19" s="137" t="s">
        <v>289</v>
      </c>
      <c r="O19" s="136">
        <v>0</v>
      </c>
      <c r="P19" s="137" t="s">
        <v>289</v>
      </c>
      <c r="Q19" s="230">
        <v>1</v>
      </c>
      <c r="R19" s="96" t="s">
        <v>547</v>
      </c>
      <c r="S19" s="322"/>
      <c r="T19" s="214"/>
      <c r="U19" s="3"/>
    </row>
    <row r="20" spans="1:19" ht="252.75" customHeight="1" thickBot="1">
      <c r="A20" s="274">
        <v>1</v>
      </c>
      <c r="B20" s="296" t="s">
        <v>5</v>
      </c>
      <c r="C20" s="306" t="s">
        <v>22</v>
      </c>
      <c r="D20" s="300" t="s">
        <v>44</v>
      </c>
      <c r="E20" s="271" t="s">
        <v>96</v>
      </c>
      <c r="F20" s="342" t="s">
        <v>33</v>
      </c>
      <c r="G20" s="29" t="s">
        <v>154</v>
      </c>
      <c r="H20" s="341">
        <v>42735</v>
      </c>
      <c r="I20" s="420">
        <v>0</v>
      </c>
      <c r="J20" s="271" t="s">
        <v>109</v>
      </c>
      <c r="K20" s="69">
        <f>(34%)*100%</f>
        <v>0.34</v>
      </c>
      <c r="L20" s="30" t="s">
        <v>290</v>
      </c>
      <c r="M20" s="69">
        <f>(50%)*100%</f>
        <v>0.5</v>
      </c>
      <c r="N20" s="30" t="s">
        <v>291</v>
      </c>
      <c r="O20" s="69">
        <f>(60%)*100%</f>
        <v>0.6</v>
      </c>
      <c r="P20" s="52" t="s">
        <v>292</v>
      </c>
      <c r="Q20" s="246">
        <f>(100%)*100%</f>
        <v>1</v>
      </c>
      <c r="R20" s="213" t="s">
        <v>561</v>
      </c>
      <c r="S20" s="313">
        <f>(Q20+Q21+Q22+Q23+Q24+Q25+Q26+Q27+Q28+Q29+Q30+Q31+Q32+Q33+Q34+Q35+Q36+Q37+Q38+Q39+Q40+Q41+Q42+Q43+Q44+Q45+Q46)/27</f>
        <v>0.9861111111111112</v>
      </c>
    </row>
    <row r="21" spans="1:19" ht="255" customHeight="1" thickBot="1">
      <c r="A21" s="274"/>
      <c r="B21" s="297"/>
      <c r="C21" s="306"/>
      <c r="D21" s="301"/>
      <c r="E21" s="272"/>
      <c r="F21" s="303"/>
      <c r="G21" s="6" t="s">
        <v>155</v>
      </c>
      <c r="H21" s="312"/>
      <c r="I21" s="349"/>
      <c r="J21" s="272"/>
      <c r="K21" s="70">
        <f>(25%)*100%</f>
        <v>0.25</v>
      </c>
      <c r="L21" s="26" t="s">
        <v>293</v>
      </c>
      <c r="M21" s="71">
        <f>(75%)*100%</f>
        <v>0.75</v>
      </c>
      <c r="N21" s="18" t="s">
        <v>238</v>
      </c>
      <c r="O21" s="69">
        <f>(85%)*100%</f>
        <v>0.85</v>
      </c>
      <c r="P21" s="52" t="s">
        <v>296</v>
      </c>
      <c r="Q21" s="69">
        <f>(95%)*100%</f>
        <v>0.95</v>
      </c>
      <c r="R21" s="213" t="s">
        <v>477</v>
      </c>
      <c r="S21" s="314"/>
    </row>
    <row r="22" spans="1:19" ht="237.75" customHeight="1" thickBot="1">
      <c r="A22" s="274"/>
      <c r="B22" s="297"/>
      <c r="C22" s="307"/>
      <c r="D22" s="302"/>
      <c r="E22" s="272"/>
      <c r="F22" s="303"/>
      <c r="G22" s="6" t="s">
        <v>156</v>
      </c>
      <c r="H22" s="312"/>
      <c r="I22" s="349"/>
      <c r="J22" s="272"/>
      <c r="K22" s="70">
        <f>(30%)*100%</f>
        <v>0.3</v>
      </c>
      <c r="L22" s="18" t="s">
        <v>294</v>
      </c>
      <c r="M22" s="70">
        <f>(50%)*100%</f>
        <v>0.5</v>
      </c>
      <c r="N22" s="18" t="s">
        <v>295</v>
      </c>
      <c r="O22" s="138">
        <f>(60%)*100%</f>
        <v>0.6</v>
      </c>
      <c r="P22" s="53" t="s">
        <v>297</v>
      </c>
      <c r="Q22" s="189">
        <f>(100%)*100%</f>
        <v>1</v>
      </c>
      <c r="R22" s="201" t="s">
        <v>478</v>
      </c>
      <c r="S22" s="314"/>
    </row>
    <row r="23" spans="1:19" ht="326.25" customHeight="1">
      <c r="A23" s="274">
        <v>2</v>
      </c>
      <c r="B23" s="297"/>
      <c r="C23" s="273" t="s">
        <v>22</v>
      </c>
      <c r="D23" s="300" t="s">
        <v>89</v>
      </c>
      <c r="E23" s="272" t="s">
        <v>88</v>
      </c>
      <c r="F23" s="303" t="s">
        <v>33</v>
      </c>
      <c r="G23" s="6" t="s">
        <v>233</v>
      </c>
      <c r="H23" s="312">
        <v>42735</v>
      </c>
      <c r="I23" s="348">
        <v>1</v>
      </c>
      <c r="J23" s="324" t="s">
        <v>130</v>
      </c>
      <c r="K23" s="70">
        <f>(98%)*100%</f>
        <v>0.98</v>
      </c>
      <c r="L23" s="18" t="s">
        <v>298</v>
      </c>
      <c r="M23" s="70">
        <f>(100%)*100%</f>
        <v>1</v>
      </c>
      <c r="N23" s="18" t="s">
        <v>300</v>
      </c>
      <c r="O23" s="189">
        <f>(100%)*100%</f>
        <v>1</v>
      </c>
      <c r="P23" s="53" t="s">
        <v>303</v>
      </c>
      <c r="Q23" s="189">
        <f>(100%)*100%</f>
        <v>1</v>
      </c>
      <c r="R23" s="53" t="s">
        <v>532</v>
      </c>
      <c r="S23" s="315"/>
    </row>
    <row r="24" spans="1:19" ht="240.75" customHeight="1" thickBot="1">
      <c r="A24" s="274"/>
      <c r="B24" s="297"/>
      <c r="C24" s="273"/>
      <c r="D24" s="301"/>
      <c r="E24" s="272"/>
      <c r="F24" s="303"/>
      <c r="G24" s="7" t="s">
        <v>157</v>
      </c>
      <c r="H24" s="312"/>
      <c r="I24" s="348"/>
      <c r="J24" s="324"/>
      <c r="K24" s="70">
        <f>(80%)*100%</f>
        <v>0.8</v>
      </c>
      <c r="L24" s="18" t="s">
        <v>232</v>
      </c>
      <c r="M24" s="70">
        <f>(80%)*100%</f>
        <v>0.8</v>
      </c>
      <c r="N24" s="18" t="s">
        <v>239</v>
      </c>
      <c r="O24" s="189">
        <f>(82%)*100%</f>
        <v>0.82</v>
      </c>
      <c r="P24" s="53" t="s">
        <v>304</v>
      </c>
      <c r="Q24" s="189">
        <f>(88%)*100%</f>
        <v>0.88</v>
      </c>
      <c r="R24" s="53" t="s">
        <v>510</v>
      </c>
      <c r="S24" s="315"/>
    </row>
    <row r="25" spans="1:19" ht="338.25" customHeight="1" thickBot="1">
      <c r="A25" s="274"/>
      <c r="B25" s="297"/>
      <c r="C25" s="273"/>
      <c r="D25" s="302"/>
      <c r="E25" s="272"/>
      <c r="F25" s="303"/>
      <c r="G25" s="7" t="s">
        <v>158</v>
      </c>
      <c r="H25" s="312"/>
      <c r="I25" s="348"/>
      <c r="J25" s="324"/>
      <c r="K25" s="70">
        <f>(50%)*100%</f>
        <v>0.5</v>
      </c>
      <c r="L25" s="18" t="s">
        <v>299</v>
      </c>
      <c r="M25" s="70">
        <f>(60%)*100%</f>
        <v>0.6</v>
      </c>
      <c r="N25" s="18" t="s">
        <v>301</v>
      </c>
      <c r="O25" s="189">
        <f>(70%)*100%</f>
        <v>0.7</v>
      </c>
      <c r="P25" s="53" t="s">
        <v>302</v>
      </c>
      <c r="Q25" s="189">
        <f>(80%)*100%</f>
        <v>0.8</v>
      </c>
      <c r="R25" s="201" t="s">
        <v>479</v>
      </c>
      <c r="S25" s="315"/>
    </row>
    <row r="26" spans="1:19" ht="408.75" customHeight="1" thickBot="1">
      <c r="A26" s="274">
        <v>3</v>
      </c>
      <c r="B26" s="297"/>
      <c r="C26" s="273" t="s">
        <v>22</v>
      </c>
      <c r="D26" s="300" t="s">
        <v>35</v>
      </c>
      <c r="E26" s="272" t="s">
        <v>34</v>
      </c>
      <c r="F26" s="303" t="s">
        <v>33</v>
      </c>
      <c r="G26" s="8" t="s">
        <v>231</v>
      </c>
      <c r="H26" s="312">
        <v>42735</v>
      </c>
      <c r="I26" s="349">
        <v>0</v>
      </c>
      <c r="J26" s="347" t="s">
        <v>110</v>
      </c>
      <c r="K26" s="70">
        <f>(100%*(5/5)/4)+(100%*(0)/4)+(100%*(0)/4)+(100%*(0)/4)</f>
        <v>0.25</v>
      </c>
      <c r="L26" s="139" t="s">
        <v>307</v>
      </c>
      <c r="M26" s="70">
        <f>(100%*(5/5)/4)+(100%*(2/2)/4)+(100%*(0)/4)+(100%*(0)/4)</f>
        <v>0.5</v>
      </c>
      <c r="N26" s="139" t="s">
        <v>308</v>
      </c>
      <c r="O26" s="243">
        <f>(100%*(5/5)/4)+(100%*(2/2)/4)+(100%*(8/8)/4)+(100%*(0)/4)</f>
        <v>0.75</v>
      </c>
      <c r="P26" s="185" t="s">
        <v>254</v>
      </c>
      <c r="Q26" s="243">
        <f>(100%*(5/5)/4)+(100%*(2/2)/4)+(100%*(8/8)/4)+(100%*(3/3)/4)</f>
        <v>1</v>
      </c>
      <c r="R26" s="245" t="s">
        <v>551</v>
      </c>
      <c r="S26" s="315"/>
    </row>
    <row r="27" spans="1:19" ht="204.75" customHeight="1">
      <c r="A27" s="274"/>
      <c r="B27" s="297"/>
      <c r="C27" s="273"/>
      <c r="D27" s="301"/>
      <c r="E27" s="272"/>
      <c r="F27" s="303"/>
      <c r="G27" s="7" t="s">
        <v>159</v>
      </c>
      <c r="H27" s="312"/>
      <c r="I27" s="349"/>
      <c r="J27" s="347"/>
      <c r="K27" s="70">
        <f>(100%*(3/3)/4)+(100%*(0)/4)+(100%*(0)/4)+(100%*(0)/4)</f>
        <v>0.25</v>
      </c>
      <c r="L27" s="23" t="s">
        <v>305</v>
      </c>
      <c r="M27" s="70">
        <f>(100%*(3/3)/4)+(100%*(7/7)/4)+(100%*(0)/4)+(100%*(0)/4)</f>
        <v>0.5</v>
      </c>
      <c r="N27" s="18" t="s">
        <v>245</v>
      </c>
      <c r="O27" s="189">
        <f>(100%*(3/3)/4)+(100%*(7/7)/4)+(100%*(5/5)/4)+(100%*(0)/4)</f>
        <v>0.75</v>
      </c>
      <c r="P27" s="23" t="s">
        <v>511</v>
      </c>
      <c r="Q27" s="221">
        <f>(100%*(3/3)/4)+(100%*(7/7)/4)+(100%*(5/5)/4)+(100%*(3/3)/4)</f>
        <v>1</v>
      </c>
      <c r="R27" s="81" t="s">
        <v>512</v>
      </c>
      <c r="S27" s="315"/>
    </row>
    <row r="28" spans="1:19" ht="324.75" customHeight="1" thickBot="1">
      <c r="A28" s="274"/>
      <c r="B28" s="297"/>
      <c r="C28" s="273"/>
      <c r="D28" s="302"/>
      <c r="E28" s="272"/>
      <c r="F28" s="303"/>
      <c r="G28" s="7" t="s">
        <v>160</v>
      </c>
      <c r="H28" s="312"/>
      <c r="I28" s="349"/>
      <c r="J28" s="347"/>
      <c r="K28" s="70">
        <f>(100%*(6/6)/4)+(100%*(0)/4)+(100%*(0)/4)+(100%*(0)/4)</f>
        <v>0.25</v>
      </c>
      <c r="L28" s="140" t="s">
        <v>306</v>
      </c>
      <c r="M28" s="70">
        <f>(100%*(6/6)/4)+(100%*(5/5)/4)+(100%*(0)/4)+(100%*(0)/4)</f>
        <v>0.5</v>
      </c>
      <c r="N28" s="18" t="s">
        <v>240</v>
      </c>
      <c r="O28" s="189">
        <f>(100%*(6/6)/4)+(100%*(5/5)/4)+(100%*(12/12)/4)+(100%*(0)/4)</f>
        <v>0.75</v>
      </c>
      <c r="P28" s="144" t="s">
        <v>253</v>
      </c>
      <c r="Q28" s="189">
        <f>(100%*(6/6)/4)+(100%*(5/5)/4)+(100%*(12/12)/4)+(100%*(7/7)/4)</f>
        <v>1</v>
      </c>
      <c r="R28" s="202" t="s">
        <v>482</v>
      </c>
      <c r="S28" s="315"/>
    </row>
    <row r="29" spans="1:19" ht="372.75" customHeight="1">
      <c r="A29" s="274">
        <v>4</v>
      </c>
      <c r="B29" s="297"/>
      <c r="C29" s="273" t="s">
        <v>22</v>
      </c>
      <c r="D29" s="300" t="s">
        <v>36</v>
      </c>
      <c r="E29" s="308" t="s">
        <v>60</v>
      </c>
      <c r="F29" s="303" t="s">
        <v>25</v>
      </c>
      <c r="G29" s="8" t="s">
        <v>161</v>
      </c>
      <c r="H29" s="312">
        <v>42735</v>
      </c>
      <c r="I29" s="349">
        <v>0</v>
      </c>
      <c r="J29" s="346" t="s">
        <v>111</v>
      </c>
      <c r="K29" s="70">
        <f>(100%*10%)</f>
        <v>0.1</v>
      </c>
      <c r="L29" s="18" t="s">
        <v>309</v>
      </c>
      <c r="M29" s="70">
        <f>(100%*10%)</f>
        <v>0.1</v>
      </c>
      <c r="N29" s="18" t="s">
        <v>310</v>
      </c>
      <c r="O29" s="189">
        <f>(100%*50%)</f>
        <v>0.5</v>
      </c>
      <c r="P29" s="53" t="s">
        <v>311</v>
      </c>
      <c r="Q29" s="235">
        <f>(100%*100%)</f>
        <v>1</v>
      </c>
      <c r="R29" s="53" t="s">
        <v>533</v>
      </c>
      <c r="S29" s="315"/>
    </row>
    <row r="30" spans="1:19" ht="176.25" customHeight="1">
      <c r="A30" s="274"/>
      <c r="B30" s="297"/>
      <c r="C30" s="273"/>
      <c r="D30" s="301"/>
      <c r="E30" s="308"/>
      <c r="F30" s="303"/>
      <c r="G30" s="8" t="s">
        <v>162</v>
      </c>
      <c r="H30" s="312"/>
      <c r="I30" s="349"/>
      <c r="J30" s="346"/>
      <c r="K30" s="70">
        <f>(100%*10%)</f>
        <v>0.1</v>
      </c>
      <c r="L30" s="19" t="s">
        <v>316</v>
      </c>
      <c r="M30" s="70">
        <f>(100%*10%)</f>
        <v>0.1</v>
      </c>
      <c r="N30" s="18" t="s">
        <v>315</v>
      </c>
      <c r="O30" s="70">
        <f>(100%*50%)</f>
        <v>0.5</v>
      </c>
      <c r="P30" s="53" t="s">
        <v>314</v>
      </c>
      <c r="Q30" s="189">
        <f>(100%*100%)</f>
        <v>1</v>
      </c>
      <c r="R30" s="53" t="s">
        <v>513</v>
      </c>
      <c r="S30" s="315"/>
    </row>
    <row r="31" spans="1:19" ht="385.5" customHeight="1" thickBot="1">
      <c r="A31" s="274"/>
      <c r="B31" s="297"/>
      <c r="C31" s="273"/>
      <c r="D31" s="302"/>
      <c r="E31" s="308"/>
      <c r="F31" s="303"/>
      <c r="G31" s="9" t="s">
        <v>163</v>
      </c>
      <c r="H31" s="312"/>
      <c r="I31" s="349"/>
      <c r="J31" s="346"/>
      <c r="K31" s="70">
        <f>(100%*10%)</f>
        <v>0.1</v>
      </c>
      <c r="L31" s="140" t="s">
        <v>312</v>
      </c>
      <c r="M31" s="70">
        <f>(100%*10%)</f>
        <v>0.1</v>
      </c>
      <c r="N31" s="18" t="s">
        <v>241</v>
      </c>
      <c r="O31" s="189">
        <f>(100%*50%)</f>
        <v>0.5</v>
      </c>
      <c r="P31" s="53" t="s">
        <v>313</v>
      </c>
      <c r="Q31" s="189">
        <f>(100%*100%)</f>
        <v>1</v>
      </c>
      <c r="R31" s="202" t="s">
        <v>481</v>
      </c>
      <c r="S31" s="315"/>
    </row>
    <row r="32" spans="1:19" ht="404.25" customHeight="1">
      <c r="A32" s="274">
        <v>5</v>
      </c>
      <c r="B32" s="297"/>
      <c r="C32" s="273" t="s">
        <v>22</v>
      </c>
      <c r="D32" s="300" t="s">
        <v>42</v>
      </c>
      <c r="E32" s="308" t="s">
        <v>65</v>
      </c>
      <c r="F32" s="303" t="s">
        <v>33</v>
      </c>
      <c r="G32" s="6" t="s">
        <v>164</v>
      </c>
      <c r="H32" s="312">
        <v>42735</v>
      </c>
      <c r="I32" s="349">
        <v>0</v>
      </c>
      <c r="J32" s="272" t="s">
        <v>230</v>
      </c>
      <c r="K32" s="70">
        <f>(20%)*100%</f>
        <v>0.2</v>
      </c>
      <c r="L32" s="81" t="s">
        <v>317</v>
      </c>
      <c r="M32" s="70">
        <f>(40%)*100%</f>
        <v>0.4</v>
      </c>
      <c r="N32" s="83" t="s">
        <v>318</v>
      </c>
      <c r="O32" s="189">
        <f>(60%)*100%</f>
        <v>0.6</v>
      </c>
      <c r="P32" s="145" t="s">
        <v>319</v>
      </c>
      <c r="Q32" s="189">
        <f>(100%)*100%</f>
        <v>1</v>
      </c>
      <c r="R32" s="145" t="s">
        <v>548</v>
      </c>
      <c r="S32" s="315"/>
    </row>
    <row r="33" spans="1:19" ht="183" customHeight="1">
      <c r="A33" s="274"/>
      <c r="B33" s="297"/>
      <c r="C33" s="273"/>
      <c r="D33" s="301"/>
      <c r="E33" s="308"/>
      <c r="F33" s="303"/>
      <c r="G33" s="6" t="s">
        <v>165</v>
      </c>
      <c r="H33" s="312"/>
      <c r="I33" s="349"/>
      <c r="J33" s="272"/>
      <c r="K33" s="70">
        <f>(20%)*100%</f>
        <v>0.2</v>
      </c>
      <c r="L33" s="18" t="s">
        <v>320</v>
      </c>
      <c r="M33" s="70">
        <f>(75%)*100%</f>
        <v>0.75</v>
      </c>
      <c r="N33" s="18" t="s">
        <v>322</v>
      </c>
      <c r="O33" s="70">
        <f>(90%)*100%</f>
        <v>0.9</v>
      </c>
      <c r="P33" s="53" t="s">
        <v>322</v>
      </c>
      <c r="Q33" s="221">
        <f>(100%)*100%</f>
        <v>1</v>
      </c>
      <c r="R33" s="81" t="s">
        <v>514</v>
      </c>
      <c r="S33" s="315"/>
    </row>
    <row r="34" spans="1:19" ht="192" customHeight="1" thickBot="1">
      <c r="A34" s="274"/>
      <c r="B34" s="297"/>
      <c r="C34" s="273"/>
      <c r="D34" s="302"/>
      <c r="E34" s="308"/>
      <c r="F34" s="303"/>
      <c r="G34" s="6" t="s">
        <v>166</v>
      </c>
      <c r="H34" s="312"/>
      <c r="I34" s="349"/>
      <c r="J34" s="272"/>
      <c r="K34" s="70">
        <f>(20%)*100%</f>
        <v>0.2</v>
      </c>
      <c r="L34" s="81" t="s">
        <v>321</v>
      </c>
      <c r="M34" s="70">
        <f>(50%)*100%</f>
        <v>0.5</v>
      </c>
      <c r="N34" s="18" t="s">
        <v>323</v>
      </c>
      <c r="O34" s="70">
        <f>(75%)*100%</f>
        <v>0.75</v>
      </c>
      <c r="P34" s="53" t="s">
        <v>324</v>
      </c>
      <c r="Q34" s="70">
        <f>(99.5%)*100%</f>
        <v>0.995</v>
      </c>
      <c r="R34" s="202" t="s">
        <v>480</v>
      </c>
      <c r="S34" s="315"/>
    </row>
    <row r="35" spans="1:19" ht="285.75" customHeight="1">
      <c r="A35" s="274">
        <v>6</v>
      </c>
      <c r="B35" s="297"/>
      <c r="C35" s="309" t="s">
        <v>22</v>
      </c>
      <c r="D35" s="310" t="s">
        <v>37</v>
      </c>
      <c r="E35" s="308" t="s">
        <v>38</v>
      </c>
      <c r="F35" s="303" t="s">
        <v>25</v>
      </c>
      <c r="G35" s="8" t="s">
        <v>167</v>
      </c>
      <c r="H35" s="312">
        <v>42735</v>
      </c>
      <c r="I35" s="349">
        <v>3</v>
      </c>
      <c r="J35" s="272" t="s">
        <v>112</v>
      </c>
      <c r="K35" s="70">
        <f>(0/3)*100%</f>
        <v>0</v>
      </c>
      <c r="L35" s="23" t="s">
        <v>325</v>
      </c>
      <c r="M35" s="70">
        <f>(0/3)*100%</f>
        <v>0</v>
      </c>
      <c r="N35" s="23" t="s">
        <v>244</v>
      </c>
      <c r="O35" s="70">
        <f>(2/3)*100%</f>
        <v>0.6666666666666666</v>
      </c>
      <c r="P35" s="57" t="s">
        <v>326</v>
      </c>
      <c r="Q35" s="189">
        <f>(3/3)*100%</f>
        <v>1</v>
      </c>
      <c r="R35" s="57" t="s">
        <v>537</v>
      </c>
      <c r="S35" s="315"/>
    </row>
    <row r="36" spans="1:19" ht="213.75" customHeight="1">
      <c r="A36" s="274"/>
      <c r="B36" s="297"/>
      <c r="C36" s="309"/>
      <c r="D36" s="311"/>
      <c r="E36" s="308"/>
      <c r="F36" s="303"/>
      <c r="G36" s="9" t="s">
        <v>168</v>
      </c>
      <c r="H36" s="312"/>
      <c r="I36" s="349"/>
      <c r="J36" s="272"/>
      <c r="K36" s="70">
        <f>(0/3)*100%</f>
        <v>0</v>
      </c>
      <c r="L36" s="19" t="s">
        <v>139</v>
      </c>
      <c r="M36" s="70">
        <f>(0/3)*100%</f>
        <v>0</v>
      </c>
      <c r="N36" s="23" t="s">
        <v>244</v>
      </c>
      <c r="O36" s="70">
        <f>(2/3)*100%</f>
        <v>0.6666666666666666</v>
      </c>
      <c r="P36" s="57" t="s">
        <v>328</v>
      </c>
      <c r="Q36" s="221">
        <f>(3/3)*100%</f>
        <v>1</v>
      </c>
      <c r="R36" s="57" t="s">
        <v>538</v>
      </c>
      <c r="S36" s="315"/>
    </row>
    <row r="37" spans="1:19" ht="324.75" customHeight="1" thickBot="1">
      <c r="A37" s="274"/>
      <c r="B37" s="297"/>
      <c r="C37" s="309"/>
      <c r="D37" s="311"/>
      <c r="E37" s="308"/>
      <c r="F37" s="303"/>
      <c r="G37" s="9" t="s">
        <v>169</v>
      </c>
      <c r="H37" s="312"/>
      <c r="I37" s="349"/>
      <c r="J37" s="272"/>
      <c r="K37" s="70">
        <f>(0/3)*100%</f>
        <v>0</v>
      </c>
      <c r="L37" s="19" t="s">
        <v>329</v>
      </c>
      <c r="M37" s="70">
        <f>(0/3)*100%</f>
        <v>0</v>
      </c>
      <c r="N37" s="23" t="s">
        <v>244</v>
      </c>
      <c r="O37" s="70">
        <f>(2/3)*100%</f>
        <v>0.6666666666666666</v>
      </c>
      <c r="P37" s="57" t="s">
        <v>327</v>
      </c>
      <c r="Q37" s="189">
        <f>(3/3)*100%</f>
        <v>1</v>
      </c>
      <c r="R37" s="57" t="s">
        <v>485</v>
      </c>
      <c r="S37" s="315"/>
    </row>
    <row r="38" spans="1:19" ht="238.5" customHeight="1">
      <c r="A38" s="274">
        <v>7</v>
      </c>
      <c r="B38" s="297"/>
      <c r="C38" s="273" t="s">
        <v>22</v>
      </c>
      <c r="D38" s="300" t="s">
        <v>39</v>
      </c>
      <c r="E38" s="308" t="s">
        <v>31</v>
      </c>
      <c r="F38" s="303" t="s">
        <v>33</v>
      </c>
      <c r="G38" s="8" t="s">
        <v>234</v>
      </c>
      <c r="H38" s="312">
        <v>42735</v>
      </c>
      <c r="I38" s="349">
        <v>0</v>
      </c>
      <c r="J38" s="272" t="s">
        <v>113</v>
      </c>
      <c r="K38" s="141">
        <f>(100%*212.4)/885</f>
        <v>0.24000000000000002</v>
      </c>
      <c r="L38" s="81" t="s">
        <v>335</v>
      </c>
      <c r="M38" s="141">
        <f>(100%*433)/885</f>
        <v>0.48926553672316386</v>
      </c>
      <c r="N38" s="80" t="s">
        <v>336</v>
      </c>
      <c r="O38" s="141">
        <f>(100%*680)/885</f>
        <v>0.768361581920904</v>
      </c>
      <c r="P38" s="57" t="s">
        <v>337</v>
      </c>
      <c r="Q38" s="222">
        <f>(100%*885)/885</f>
        <v>1</v>
      </c>
      <c r="R38" s="81" t="s">
        <v>539</v>
      </c>
      <c r="S38" s="315"/>
    </row>
    <row r="39" spans="1:19" ht="237" customHeight="1">
      <c r="A39" s="274"/>
      <c r="B39" s="297"/>
      <c r="C39" s="273"/>
      <c r="D39" s="301"/>
      <c r="E39" s="308"/>
      <c r="F39" s="303"/>
      <c r="G39" s="9" t="s">
        <v>171</v>
      </c>
      <c r="H39" s="312"/>
      <c r="I39" s="349"/>
      <c r="J39" s="272"/>
      <c r="K39" s="141">
        <f>(100%*1440)/8040</f>
        <v>0.1791044776119403</v>
      </c>
      <c r="L39" s="25" t="s">
        <v>330</v>
      </c>
      <c r="M39" s="141">
        <f>(100%*3624)/7920</f>
        <v>0.4575757575757576</v>
      </c>
      <c r="N39" s="80" t="s">
        <v>331</v>
      </c>
      <c r="O39" s="184">
        <f>(100%*5784)/7920</f>
        <v>0.7303030303030303</v>
      </c>
      <c r="P39" s="57" t="s">
        <v>333</v>
      </c>
      <c r="Q39" s="222">
        <f>(100%*7920)/7920</f>
        <v>1</v>
      </c>
      <c r="R39" s="81" t="s">
        <v>515</v>
      </c>
      <c r="S39" s="315"/>
    </row>
    <row r="40" spans="1:19" ht="223.5" customHeight="1" thickBot="1">
      <c r="A40" s="274"/>
      <c r="B40" s="297"/>
      <c r="C40" s="273"/>
      <c r="D40" s="302"/>
      <c r="E40" s="308"/>
      <c r="F40" s="303"/>
      <c r="G40" s="9" t="s">
        <v>172</v>
      </c>
      <c r="H40" s="312"/>
      <c r="I40" s="349"/>
      <c r="J40" s="272"/>
      <c r="K40" s="141">
        <f>(100%*24)/96</f>
        <v>0.25</v>
      </c>
      <c r="L40" s="19" t="s">
        <v>224</v>
      </c>
      <c r="M40" s="141">
        <f>(100%*48)/96</f>
        <v>0.5</v>
      </c>
      <c r="N40" s="142" t="s">
        <v>332</v>
      </c>
      <c r="O40" s="70">
        <f>(100%*72)/96</f>
        <v>0.75</v>
      </c>
      <c r="P40" s="146" t="s">
        <v>334</v>
      </c>
      <c r="Q40" s="189">
        <f>(100%*96)/96</f>
        <v>1</v>
      </c>
      <c r="R40" s="203" t="s">
        <v>487</v>
      </c>
      <c r="S40" s="315"/>
    </row>
    <row r="41" spans="1:21" s="4" customFormat="1" ht="237.75" customHeight="1">
      <c r="A41" s="274">
        <v>8</v>
      </c>
      <c r="B41" s="297"/>
      <c r="C41" s="305" t="s">
        <v>22</v>
      </c>
      <c r="D41" s="300" t="s">
        <v>32</v>
      </c>
      <c r="E41" s="308" t="s">
        <v>40</v>
      </c>
      <c r="F41" s="303" t="s">
        <v>25</v>
      </c>
      <c r="G41" s="8" t="s">
        <v>170</v>
      </c>
      <c r="H41" s="312">
        <v>42735</v>
      </c>
      <c r="I41" s="349">
        <v>0</v>
      </c>
      <c r="J41" s="272" t="s">
        <v>114</v>
      </c>
      <c r="K41" s="70">
        <f>(0%)*1.66%</f>
        <v>0</v>
      </c>
      <c r="L41" s="81" t="s">
        <v>341</v>
      </c>
      <c r="M41" s="70">
        <f>(10%)*100%</f>
        <v>0.1</v>
      </c>
      <c r="N41" s="81" t="s">
        <v>342</v>
      </c>
      <c r="O41" s="70">
        <f>(75%)*100%</f>
        <v>0.75</v>
      </c>
      <c r="P41" s="147" t="s">
        <v>338</v>
      </c>
      <c r="Q41" s="189">
        <f>(100%)*100%</f>
        <v>1</v>
      </c>
      <c r="R41" s="147" t="s">
        <v>540</v>
      </c>
      <c r="S41" s="315"/>
      <c r="T41" s="214"/>
      <c r="U41" s="3"/>
    </row>
    <row r="42" spans="1:21" s="4" customFormat="1" ht="167.25" customHeight="1">
      <c r="A42" s="274"/>
      <c r="B42" s="297"/>
      <c r="C42" s="306"/>
      <c r="D42" s="301"/>
      <c r="E42" s="308"/>
      <c r="F42" s="303"/>
      <c r="G42" s="8" t="s">
        <v>173</v>
      </c>
      <c r="H42" s="312"/>
      <c r="I42" s="349"/>
      <c r="J42" s="272"/>
      <c r="K42" s="70">
        <f>(0%)*1.66%</f>
        <v>0</v>
      </c>
      <c r="L42" s="18" t="s">
        <v>140</v>
      </c>
      <c r="M42" s="70">
        <f>(10%)*100%</f>
        <v>0.1</v>
      </c>
      <c r="N42" s="81" t="s">
        <v>343</v>
      </c>
      <c r="O42" s="70">
        <f>(75%)*100%</f>
        <v>0.75</v>
      </c>
      <c r="P42" s="147" t="s">
        <v>339</v>
      </c>
      <c r="Q42" s="189">
        <f>(100%)*100%</f>
        <v>1</v>
      </c>
      <c r="R42" s="147" t="s">
        <v>516</v>
      </c>
      <c r="S42" s="315"/>
      <c r="T42" s="214"/>
      <c r="U42" s="3"/>
    </row>
    <row r="43" spans="1:21" s="4" customFormat="1" ht="240.75" customHeight="1" thickBot="1">
      <c r="A43" s="274"/>
      <c r="B43" s="297"/>
      <c r="C43" s="307"/>
      <c r="D43" s="302"/>
      <c r="E43" s="308"/>
      <c r="F43" s="303"/>
      <c r="G43" s="9" t="s">
        <v>174</v>
      </c>
      <c r="H43" s="312"/>
      <c r="I43" s="349"/>
      <c r="J43" s="272"/>
      <c r="K43" s="70">
        <f>(0%)*1.66%</f>
        <v>0</v>
      </c>
      <c r="L43" s="18" t="s">
        <v>344</v>
      </c>
      <c r="M43" s="70">
        <f>(10%)*100%</f>
        <v>0.1</v>
      </c>
      <c r="N43" s="143" t="s">
        <v>345</v>
      </c>
      <c r="O43" s="70">
        <f>(75%)*100%</f>
        <v>0.75</v>
      </c>
      <c r="P43" s="148" t="s">
        <v>340</v>
      </c>
      <c r="Q43" s="189">
        <f>(100%)*100%</f>
        <v>1</v>
      </c>
      <c r="R43" s="203" t="s">
        <v>486</v>
      </c>
      <c r="S43" s="315"/>
      <c r="T43" s="214"/>
      <c r="U43" s="3"/>
    </row>
    <row r="44" spans="1:19" ht="218.25" customHeight="1">
      <c r="A44" s="274">
        <v>9</v>
      </c>
      <c r="B44" s="297"/>
      <c r="C44" s="273" t="s">
        <v>22</v>
      </c>
      <c r="D44" s="300" t="s">
        <v>135</v>
      </c>
      <c r="E44" s="308" t="s">
        <v>59</v>
      </c>
      <c r="F44" s="303" t="s">
        <v>25</v>
      </c>
      <c r="G44" s="8" t="s">
        <v>170</v>
      </c>
      <c r="H44" s="312">
        <v>42735</v>
      </c>
      <c r="I44" s="349">
        <v>1</v>
      </c>
      <c r="J44" s="272" t="s">
        <v>115</v>
      </c>
      <c r="K44" s="70">
        <f>(100%*25%)</f>
        <v>0.25</v>
      </c>
      <c r="L44" s="187" t="s">
        <v>351</v>
      </c>
      <c r="M44" s="70">
        <f>(100%*25%)</f>
        <v>0.25</v>
      </c>
      <c r="N44" s="18" t="s">
        <v>346</v>
      </c>
      <c r="O44" s="70">
        <f>(100%*90%)</f>
        <v>0.9</v>
      </c>
      <c r="P44" s="53" t="s">
        <v>349</v>
      </c>
      <c r="Q44" s="189">
        <f>(100%*100%)</f>
        <v>1</v>
      </c>
      <c r="R44" s="81" t="s">
        <v>541</v>
      </c>
      <c r="S44" s="315"/>
    </row>
    <row r="45" spans="1:19" ht="202.5" customHeight="1">
      <c r="A45" s="274"/>
      <c r="B45" s="297"/>
      <c r="C45" s="273"/>
      <c r="D45" s="301"/>
      <c r="E45" s="308"/>
      <c r="F45" s="303"/>
      <c r="G45" s="8" t="s">
        <v>175</v>
      </c>
      <c r="H45" s="312"/>
      <c r="I45" s="349"/>
      <c r="J45" s="272"/>
      <c r="K45" s="189">
        <f>(100%*100%)</f>
        <v>1</v>
      </c>
      <c r="L45" s="18" t="s">
        <v>226</v>
      </c>
      <c r="M45" s="189">
        <f>(100%*100%)</f>
        <v>1</v>
      </c>
      <c r="N45" s="18" t="s">
        <v>347</v>
      </c>
      <c r="O45" s="189">
        <f>(100%*100%)</f>
        <v>1</v>
      </c>
      <c r="P45" s="18" t="s">
        <v>347</v>
      </c>
      <c r="Q45" s="189">
        <f>(100%*100%)</f>
        <v>1</v>
      </c>
      <c r="R45" s="81" t="s">
        <v>517</v>
      </c>
      <c r="S45" s="315"/>
    </row>
    <row r="46" spans="1:19" ht="256.5" customHeight="1" thickBot="1">
      <c r="A46" s="274"/>
      <c r="B46" s="298"/>
      <c r="C46" s="299"/>
      <c r="D46" s="302"/>
      <c r="E46" s="335"/>
      <c r="F46" s="304"/>
      <c r="G46" s="40" t="s">
        <v>176</v>
      </c>
      <c r="H46" s="419"/>
      <c r="I46" s="421"/>
      <c r="J46" s="425"/>
      <c r="K46" s="149">
        <f>(100%*0)</f>
        <v>0</v>
      </c>
      <c r="L46" s="58" t="s">
        <v>134</v>
      </c>
      <c r="M46" s="190">
        <f>(100%*20%)</f>
        <v>0.2</v>
      </c>
      <c r="N46" s="58" t="s">
        <v>348</v>
      </c>
      <c r="O46" s="190">
        <f>(100%*40%)</f>
        <v>0.4</v>
      </c>
      <c r="P46" s="150" t="s">
        <v>350</v>
      </c>
      <c r="Q46" s="217">
        <f>(100%*100%)</f>
        <v>1</v>
      </c>
      <c r="R46" s="203" t="s">
        <v>488</v>
      </c>
      <c r="S46" s="316"/>
    </row>
    <row r="47" spans="1:21" s="4" customFormat="1" ht="322.5" customHeight="1" thickBot="1">
      <c r="A47" s="393">
        <v>1</v>
      </c>
      <c r="B47" s="289" t="s">
        <v>6</v>
      </c>
      <c r="C47" s="295" t="s">
        <v>22</v>
      </c>
      <c r="D47" s="292" t="s">
        <v>93</v>
      </c>
      <c r="E47" s="428" t="s">
        <v>94</v>
      </c>
      <c r="F47" s="343" t="s">
        <v>33</v>
      </c>
      <c r="G47" s="10" t="s">
        <v>177</v>
      </c>
      <c r="H47" s="345">
        <v>42735</v>
      </c>
      <c r="I47" s="422">
        <v>0</v>
      </c>
      <c r="J47" s="426" t="s">
        <v>116</v>
      </c>
      <c r="K47" s="72">
        <f>(20%)*100%</f>
        <v>0.2</v>
      </c>
      <c r="L47" s="46" t="s">
        <v>352</v>
      </c>
      <c r="M47" s="72">
        <f>(47%)*100%</f>
        <v>0.47</v>
      </c>
      <c r="N47" s="162" t="s">
        <v>355</v>
      </c>
      <c r="O47" s="218">
        <f>(80%)*100%</f>
        <v>0.8</v>
      </c>
      <c r="P47" s="163" t="s">
        <v>357</v>
      </c>
      <c r="Q47" s="218">
        <f>(100%)*100%</f>
        <v>1</v>
      </c>
      <c r="R47" s="163" t="s">
        <v>489</v>
      </c>
      <c r="S47" s="317">
        <f>(Q47+Q48+Q49+Q50+Q51+Q52+Q53+Q54+Q55+Q56+Q57)/11</f>
        <v>0.9818181818181819</v>
      </c>
      <c r="T47" s="214"/>
      <c r="U47" s="3"/>
    </row>
    <row r="48" spans="1:21" s="4" customFormat="1" ht="193.5" customHeight="1">
      <c r="A48" s="393"/>
      <c r="B48" s="290"/>
      <c r="C48" s="250"/>
      <c r="D48" s="293"/>
      <c r="E48" s="337"/>
      <c r="F48" s="344"/>
      <c r="G48" s="11" t="s">
        <v>178</v>
      </c>
      <c r="H48" s="270"/>
      <c r="I48" s="323"/>
      <c r="J48" s="427"/>
      <c r="K48" s="73">
        <f>(25%)*100%</f>
        <v>0.25</v>
      </c>
      <c r="L48" s="24" t="s">
        <v>353</v>
      </c>
      <c r="M48" s="73">
        <f>(40%)*100%</f>
        <v>0.4</v>
      </c>
      <c r="N48" s="152" t="s">
        <v>246</v>
      </c>
      <c r="O48" s="218">
        <f>(77%)*100%</f>
        <v>0.77</v>
      </c>
      <c r="P48" s="163" t="s">
        <v>358</v>
      </c>
      <c r="Q48" s="218">
        <f>(90%)*100%</f>
        <v>0.9</v>
      </c>
      <c r="R48" s="223" t="s">
        <v>518</v>
      </c>
      <c r="S48" s="318"/>
      <c r="T48" s="214"/>
      <c r="U48" s="3"/>
    </row>
    <row r="49" spans="1:19" ht="186" customHeight="1" thickBot="1">
      <c r="A49" s="393"/>
      <c r="B49" s="290"/>
      <c r="C49" s="251"/>
      <c r="D49" s="294"/>
      <c r="E49" s="337"/>
      <c r="F49" s="344"/>
      <c r="G49" s="11" t="s">
        <v>179</v>
      </c>
      <c r="H49" s="270"/>
      <c r="I49" s="323"/>
      <c r="J49" s="427"/>
      <c r="K49" s="73">
        <f>(0%)*100%</f>
        <v>0</v>
      </c>
      <c r="L49" s="20" t="s">
        <v>354</v>
      </c>
      <c r="M49" s="73">
        <f>(40%)*100%</f>
        <v>0.4</v>
      </c>
      <c r="N49" s="20" t="s">
        <v>356</v>
      </c>
      <c r="O49" s="191">
        <f>(80%)*100%</f>
        <v>0.8</v>
      </c>
      <c r="P49" s="164" t="s">
        <v>359</v>
      </c>
      <c r="Q49" s="191">
        <f>(100%)*100%</f>
        <v>1</v>
      </c>
      <c r="R49" s="164" t="s">
        <v>490</v>
      </c>
      <c r="S49" s="318"/>
    </row>
    <row r="50" spans="1:21" s="4" customFormat="1" ht="396" customHeight="1">
      <c r="A50" s="393">
        <v>2</v>
      </c>
      <c r="B50" s="290"/>
      <c r="C50" s="339" t="s">
        <v>22</v>
      </c>
      <c r="D50" s="292" t="s">
        <v>98</v>
      </c>
      <c r="E50" s="337" t="s">
        <v>97</v>
      </c>
      <c r="F50" s="344" t="s">
        <v>33</v>
      </c>
      <c r="G50" s="153" t="s">
        <v>177</v>
      </c>
      <c r="H50" s="154">
        <v>42735</v>
      </c>
      <c r="I50" s="323">
        <v>0</v>
      </c>
      <c r="J50" s="377" t="s">
        <v>117</v>
      </c>
      <c r="K50" s="191">
        <f>(100%)*100%</f>
        <v>1</v>
      </c>
      <c r="L50" s="155" t="s">
        <v>360</v>
      </c>
      <c r="M50" s="191">
        <f>(100%)*100%</f>
        <v>1</v>
      </c>
      <c r="N50" s="156" t="s">
        <v>361</v>
      </c>
      <c r="O50" s="191">
        <f>(100%)*100%</f>
        <v>1</v>
      </c>
      <c r="P50" s="164" t="s">
        <v>249</v>
      </c>
      <c r="Q50" s="191">
        <f>(100%)*100%</f>
        <v>1</v>
      </c>
      <c r="R50" s="197" t="s">
        <v>471</v>
      </c>
      <c r="S50" s="318"/>
      <c r="T50" s="214"/>
      <c r="U50" s="3"/>
    </row>
    <row r="51" spans="1:19" ht="186" customHeight="1" thickBot="1">
      <c r="A51" s="393"/>
      <c r="B51" s="290"/>
      <c r="C51" s="340"/>
      <c r="D51" s="294"/>
      <c r="E51" s="337"/>
      <c r="F51" s="344"/>
      <c r="G51" s="157" t="s">
        <v>180</v>
      </c>
      <c r="H51" s="154"/>
      <c r="I51" s="323"/>
      <c r="J51" s="377"/>
      <c r="K51" s="73">
        <f>(25%)*100%</f>
        <v>0.25</v>
      </c>
      <c r="L51" s="24" t="s">
        <v>363</v>
      </c>
      <c r="M51" s="73">
        <f>(40%)*100%</f>
        <v>0.4</v>
      </c>
      <c r="N51" s="158" t="s">
        <v>362</v>
      </c>
      <c r="O51" s="191">
        <f>(100%)*100%</f>
        <v>1</v>
      </c>
      <c r="P51" s="164" t="s">
        <v>364</v>
      </c>
      <c r="Q51" s="191">
        <f>(100%)*100%</f>
        <v>1</v>
      </c>
      <c r="R51" s="205" t="s">
        <v>473</v>
      </c>
      <c r="S51" s="318"/>
    </row>
    <row r="52" spans="1:21" s="4" customFormat="1" ht="408.75" customHeight="1" thickBot="1">
      <c r="A52" s="393">
        <v>3</v>
      </c>
      <c r="B52" s="290"/>
      <c r="C52" s="249" t="s">
        <v>22</v>
      </c>
      <c r="D52" s="292" t="s">
        <v>43</v>
      </c>
      <c r="E52" s="337" t="s">
        <v>95</v>
      </c>
      <c r="F52" s="344" t="s">
        <v>33</v>
      </c>
      <c r="G52" s="151" t="s">
        <v>181</v>
      </c>
      <c r="H52" s="270">
        <v>42735</v>
      </c>
      <c r="I52" s="323">
        <v>0</v>
      </c>
      <c r="J52" s="268" t="s">
        <v>131</v>
      </c>
      <c r="K52" s="73">
        <f>(30%)*100%</f>
        <v>0.3</v>
      </c>
      <c r="L52" s="159" t="s">
        <v>365</v>
      </c>
      <c r="M52" s="73">
        <f>(53.3%)*100%</f>
        <v>0.5329999999999999</v>
      </c>
      <c r="N52" s="160" t="s">
        <v>368</v>
      </c>
      <c r="O52" s="191">
        <f>(80%)*100%</f>
        <v>0.8</v>
      </c>
      <c r="P52" s="165" t="s">
        <v>372</v>
      </c>
      <c r="Q52" s="191">
        <f>(100%)*100%</f>
        <v>1</v>
      </c>
      <c r="R52" s="198" t="s">
        <v>491</v>
      </c>
      <c r="S52" s="318"/>
      <c r="T52" s="214"/>
      <c r="U52" s="3"/>
    </row>
    <row r="53" spans="1:21" s="4" customFormat="1" ht="181.5" customHeight="1">
      <c r="A53" s="393"/>
      <c r="B53" s="290"/>
      <c r="C53" s="250"/>
      <c r="D53" s="293"/>
      <c r="E53" s="337"/>
      <c r="F53" s="344"/>
      <c r="G53" s="11" t="s">
        <v>178</v>
      </c>
      <c r="H53" s="270"/>
      <c r="I53" s="323"/>
      <c r="J53" s="268"/>
      <c r="K53" s="73">
        <f>(25%)*100%</f>
        <v>0.25</v>
      </c>
      <c r="L53" s="20" t="s">
        <v>366</v>
      </c>
      <c r="M53" s="73">
        <f>(41%)*100%</f>
        <v>0.41</v>
      </c>
      <c r="N53" s="161" t="s">
        <v>369</v>
      </c>
      <c r="O53" s="191">
        <f>(85%)*100%</f>
        <v>0.85</v>
      </c>
      <c r="P53" s="61" t="s">
        <v>371</v>
      </c>
      <c r="Q53" s="191">
        <f>(90%)*100%</f>
        <v>0.9</v>
      </c>
      <c r="R53" s="224" t="s">
        <v>519</v>
      </c>
      <c r="S53" s="318"/>
      <c r="T53" s="214"/>
      <c r="U53" s="3"/>
    </row>
    <row r="54" spans="1:19" ht="268.5" customHeight="1" thickBot="1">
      <c r="A54" s="393"/>
      <c r="B54" s="290"/>
      <c r="C54" s="251"/>
      <c r="D54" s="294"/>
      <c r="E54" s="337"/>
      <c r="F54" s="344"/>
      <c r="G54" s="11" t="s">
        <v>182</v>
      </c>
      <c r="H54" s="270"/>
      <c r="I54" s="323"/>
      <c r="J54" s="268"/>
      <c r="K54" s="73">
        <f>(42.5%)*100%</f>
        <v>0.425</v>
      </c>
      <c r="L54" s="20" t="s">
        <v>367</v>
      </c>
      <c r="M54" s="73">
        <f>(45%)*100%</f>
        <v>0.45</v>
      </c>
      <c r="N54" s="161" t="s">
        <v>370</v>
      </c>
      <c r="O54" s="191">
        <f>(70%)*100%</f>
        <v>0.7</v>
      </c>
      <c r="P54" s="61" t="s">
        <v>370</v>
      </c>
      <c r="Q54" s="191">
        <f>(100%)*100%</f>
        <v>1</v>
      </c>
      <c r="R54" s="204" t="s">
        <v>492</v>
      </c>
      <c r="S54" s="318"/>
    </row>
    <row r="55" spans="1:21" s="4" customFormat="1" ht="409.5" customHeight="1" thickBot="1">
      <c r="A55" s="393">
        <v>4</v>
      </c>
      <c r="B55" s="290"/>
      <c r="C55" s="249" t="s">
        <v>22</v>
      </c>
      <c r="D55" s="292" t="s">
        <v>99</v>
      </c>
      <c r="E55" s="337" t="s">
        <v>92</v>
      </c>
      <c r="F55" s="344" t="s">
        <v>33</v>
      </c>
      <c r="G55" s="151" t="s">
        <v>183</v>
      </c>
      <c r="H55" s="270">
        <v>42735</v>
      </c>
      <c r="I55" s="323">
        <v>0</v>
      </c>
      <c r="J55" s="268" t="s">
        <v>132</v>
      </c>
      <c r="K55" s="73">
        <f>(30%)*100%</f>
        <v>0.3</v>
      </c>
      <c r="L55" s="159" t="s">
        <v>373</v>
      </c>
      <c r="M55" s="73">
        <f>(53.3%)*100%</f>
        <v>0.5329999999999999</v>
      </c>
      <c r="N55" s="159" t="s">
        <v>376</v>
      </c>
      <c r="O55" s="191">
        <f>(80%)*100%</f>
        <v>0.8</v>
      </c>
      <c r="P55" s="166" t="s">
        <v>379</v>
      </c>
      <c r="Q55" s="191">
        <f>(100%)*100%</f>
        <v>1</v>
      </c>
      <c r="R55" s="198" t="s">
        <v>493</v>
      </c>
      <c r="S55" s="318"/>
      <c r="T55" s="214"/>
      <c r="U55" s="3"/>
    </row>
    <row r="56" spans="1:21" s="4" customFormat="1" ht="138.75" customHeight="1">
      <c r="A56" s="393"/>
      <c r="B56" s="290"/>
      <c r="C56" s="250"/>
      <c r="D56" s="293"/>
      <c r="E56" s="337"/>
      <c r="F56" s="344"/>
      <c r="G56" s="11" t="s">
        <v>184</v>
      </c>
      <c r="H56" s="270"/>
      <c r="I56" s="323"/>
      <c r="J56" s="268"/>
      <c r="K56" s="73">
        <f>(35%)*100%</f>
        <v>0.35</v>
      </c>
      <c r="L56" s="24" t="s">
        <v>374</v>
      </c>
      <c r="M56" s="73">
        <f>(57%)*100%</f>
        <v>0.57</v>
      </c>
      <c r="N56" s="161" t="s">
        <v>377</v>
      </c>
      <c r="O56" s="191">
        <f>(82%)*100%</f>
        <v>0.82</v>
      </c>
      <c r="P56" s="164" t="s">
        <v>380</v>
      </c>
      <c r="Q56" s="191">
        <f>(100%)*100%</f>
        <v>1</v>
      </c>
      <c r="R56" s="225" t="s">
        <v>520</v>
      </c>
      <c r="S56" s="318"/>
      <c r="T56" s="214"/>
      <c r="U56" s="3"/>
    </row>
    <row r="57" spans="1:19" ht="255.75" customHeight="1" thickBot="1">
      <c r="A57" s="393"/>
      <c r="B57" s="291"/>
      <c r="C57" s="336"/>
      <c r="D57" s="294"/>
      <c r="E57" s="338"/>
      <c r="F57" s="424"/>
      <c r="G57" s="100" t="s">
        <v>185</v>
      </c>
      <c r="H57" s="418"/>
      <c r="I57" s="416"/>
      <c r="J57" s="269"/>
      <c r="K57" s="101">
        <f>(40%)*100%</f>
        <v>0.4</v>
      </c>
      <c r="L57" s="59" t="s">
        <v>375</v>
      </c>
      <c r="M57" s="101">
        <f>(50%)*100%</f>
        <v>0.5</v>
      </c>
      <c r="N57" s="167" t="s">
        <v>378</v>
      </c>
      <c r="O57" s="219">
        <f>(80%)*100%</f>
        <v>0.8</v>
      </c>
      <c r="P57" s="60" t="s">
        <v>378</v>
      </c>
      <c r="Q57" s="219">
        <f>(100%)*100%</f>
        <v>1</v>
      </c>
      <c r="R57" s="204" t="s">
        <v>378</v>
      </c>
      <c r="S57" s="319"/>
    </row>
    <row r="58" spans="1:19" ht="282.75" customHeight="1">
      <c r="A58" s="394">
        <v>1</v>
      </c>
      <c r="B58" s="275" t="s">
        <v>7</v>
      </c>
      <c r="C58" s="281" t="s">
        <v>22</v>
      </c>
      <c r="D58" s="278" t="s">
        <v>47</v>
      </c>
      <c r="E58" s="288" t="s">
        <v>46</v>
      </c>
      <c r="F58" s="376" t="s">
        <v>25</v>
      </c>
      <c r="G58" s="41" t="s">
        <v>186</v>
      </c>
      <c r="H58" s="266">
        <v>42735</v>
      </c>
      <c r="I58" s="417">
        <v>0</v>
      </c>
      <c r="J58" s="267" t="s">
        <v>118</v>
      </c>
      <c r="K58" s="74">
        <f>(100%*0)</f>
        <v>0</v>
      </c>
      <c r="L58" s="42" t="s">
        <v>381</v>
      </c>
      <c r="M58" s="192">
        <f>(100%*1)</f>
        <v>1</v>
      </c>
      <c r="N58" s="42" t="s">
        <v>383</v>
      </c>
      <c r="O58" s="192">
        <f>(100%*1)</f>
        <v>1</v>
      </c>
      <c r="P58" s="56" t="s">
        <v>383</v>
      </c>
      <c r="Q58" s="192">
        <f>(100%*1)</f>
        <v>1</v>
      </c>
      <c r="R58" s="56" t="s">
        <v>383</v>
      </c>
      <c r="S58" s="390">
        <f>(Q58+Q59+Q60+Q61+Q62+Q63+Q64+Q65+Q66+Q67+Q68+Q69+Q70+Q71+Q72+Q73+Q74+Q75+Q76+Q77+Q78)/21</f>
        <v>0.888095238095238</v>
      </c>
    </row>
    <row r="59" spans="1:21" s="4" customFormat="1" ht="171.75" customHeight="1">
      <c r="A59" s="394"/>
      <c r="B59" s="276"/>
      <c r="C59" s="281"/>
      <c r="D59" s="279"/>
      <c r="E59" s="283"/>
      <c r="F59" s="258"/>
      <c r="G59" s="12" t="s">
        <v>187</v>
      </c>
      <c r="H59" s="265"/>
      <c r="I59" s="262"/>
      <c r="J59" s="264"/>
      <c r="K59" s="75">
        <f>(100%*0)</f>
        <v>0</v>
      </c>
      <c r="L59" s="17" t="s">
        <v>141</v>
      </c>
      <c r="M59" s="193">
        <f>(100%*1)</f>
        <v>1</v>
      </c>
      <c r="N59" s="82" t="s">
        <v>384</v>
      </c>
      <c r="O59" s="193">
        <f>(100%*1)</f>
        <v>1</v>
      </c>
      <c r="P59" s="82" t="s">
        <v>384</v>
      </c>
      <c r="Q59" s="193">
        <f>(100%*1)</f>
        <v>1</v>
      </c>
      <c r="R59" s="82" t="s">
        <v>521</v>
      </c>
      <c r="S59" s="391"/>
      <c r="T59" s="214"/>
      <c r="U59" s="3"/>
    </row>
    <row r="60" spans="1:21" s="4" customFormat="1" ht="179.25" customHeight="1" thickBot="1">
      <c r="A60" s="394"/>
      <c r="B60" s="276"/>
      <c r="C60" s="286"/>
      <c r="D60" s="280"/>
      <c r="E60" s="283"/>
      <c r="F60" s="258"/>
      <c r="G60" s="12" t="s">
        <v>188</v>
      </c>
      <c r="H60" s="265"/>
      <c r="I60" s="262"/>
      <c r="J60" s="264"/>
      <c r="K60" s="75">
        <f>(100%*0)</f>
        <v>0</v>
      </c>
      <c r="L60" s="17" t="s">
        <v>382</v>
      </c>
      <c r="M60" s="75">
        <f>(100%*0)</f>
        <v>0</v>
      </c>
      <c r="N60" s="82" t="s">
        <v>382</v>
      </c>
      <c r="O60" s="75">
        <f>(100%*0)</f>
        <v>0</v>
      </c>
      <c r="P60" s="62" t="s">
        <v>382</v>
      </c>
      <c r="Q60" s="193">
        <f>(100%*100%)</f>
        <v>1</v>
      </c>
      <c r="R60" s="206" t="s">
        <v>494</v>
      </c>
      <c r="S60" s="391"/>
      <c r="T60" s="214"/>
      <c r="U60" s="3"/>
    </row>
    <row r="61" spans="1:19" ht="369" customHeight="1">
      <c r="A61" s="394">
        <v>2</v>
      </c>
      <c r="B61" s="276"/>
      <c r="C61" s="285" t="s">
        <v>22</v>
      </c>
      <c r="D61" s="278" t="s">
        <v>51</v>
      </c>
      <c r="E61" s="283" t="s">
        <v>61</v>
      </c>
      <c r="F61" s="258" t="s">
        <v>33</v>
      </c>
      <c r="G61" s="13" t="s">
        <v>189</v>
      </c>
      <c r="H61" s="265">
        <v>42735</v>
      </c>
      <c r="I61" s="262">
        <v>0</v>
      </c>
      <c r="J61" s="256" t="s">
        <v>222</v>
      </c>
      <c r="K61" s="75">
        <f>(25%)*100%</f>
        <v>0.25</v>
      </c>
      <c r="L61" s="82" t="s">
        <v>385</v>
      </c>
      <c r="M61" s="75">
        <f>(40%)*100%</f>
        <v>0.4</v>
      </c>
      <c r="N61" s="82" t="s">
        <v>388</v>
      </c>
      <c r="O61" s="193">
        <f>(100%)*100%</f>
        <v>1</v>
      </c>
      <c r="P61" s="62" t="s">
        <v>391</v>
      </c>
      <c r="Q61" s="193">
        <f>(100%)*100%</f>
        <v>1</v>
      </c>
      <c r="R61" s="62" t="s">
        <v>534</v>
      </c>
      <c r="S61" s="391"/>
    </row>
    <row r="62" spans="1:21" s="4" customFormat="1" ht="357.75" customHeight="1">
      <c r="A62" s="394"/>
      <c r="B62" s="276"/>
      <c r="C62" s="281"/>
      <c r="D62" s="279"/>
      <c r="E62" s="283"/>
      <c r="F62" s="258"/>
      <c r="G62" s="12" t="s">
        <v>190</v>
      </c>
      <c r="H62" s="265"/>
      <c r="I62" s="262"/>
      <c r="J62" s="256"/>
      <c r="K62" s="75">
        <f>(0%)*100%</f>
        <v>0</v>
      </c>
      <c r="L62" s="17" t="s">
        <v>386</v>
      </c>
      <c r="M62" s="75">
        <f>(0%)*100%</f>
        <v>0</v>
      </c>
      <c r="N62" s="82" t="s">
        <v>389</v>
      </c>
      <c r="O62" s="193">
        <f>(0%)*100%</f>
        <v>0</v>
      </c>
      <c r="P62" s="62" t="s">
        <v>392</v>
      </c>
      <c r="Q62" s="193">
        <f>(0%)*100%</f>
        <v>0</v>
      </c>
      <c r="R62" s="226" t="s">
        <v>522</v>
      </c>
      <c r="S62" s="391"/>
      <c r="T62" s="214"/>
      <c r="U62" s="3"/>
    </row>
    <row r="63" spans="1:21" s="4" customFormat="1" ht="248.25" customHeight="1" thickBot="1">
      <c r="A63" s="394"/>
      <c r="B63" s="276"/>
      <c r="C63" s="286"/>
      <c r="D63" s="280"/>
      <c r="E63" s="283"/>
      <c r="F63" s="258"/>
      <c r="G63" s="12" t="s">
        <v>191</v>
      </c>
      <c r="H63" s="265"/>
      <c r="I63" s="262"/>
      <c r="J63" s="256"/>
      <c r="K63" s="75">
        <f>(25%)*100%</f>
        <v>0.25</v>
      </c>
      <c r="L63" s="17" t="s">
        <v>387</v>
      </c>
      <c r="M63" s="75">
        <f>(50%)*100%</f>
        <v>0.5</v>
      </c>
      <c r="N63" s="168" t="s">
        <v>390</v>
      </c>
      <c r="O63" s="193">
        <f>(75%)*100%</f>
        <v>0.75</v>
      </c>
      <c r="P63" s="172" t="s">
        <v>390</v>
      </c>
      <c r="Q63" s="193">
        <f>(100%)*100%</f>
        <v>1</v>
      </c>
      <c r="R63" s="206" t="s">
        <v>495</v>
      </c>
      <c r="S63" s="391"/>
      <c r="T63" s="214"/>
      <c r="U63" s="3"/>
    </row>
    <row r="64" spans="1:21" s="4" customFormat="1" ht="228.75" customHeight="1">
      <c r="A64" s="394">
        <v>3</v>
      </c>
      <c r="B64" s="276"/>
      <c r="C64" s="285" t="s">
        <v>22</v>
      </c>
      <c r="D64" s="278" t="s">
        <v>90</v>
      </c>
      <c r="E64" s="283" t="s">
        <v>91</v>
      </c>
      <c r="F64" s="258" t="s">
        <v>25</v>
      </c>
      <c r="G64" s="13" t="s">
        <v>192</v>
      </c>
      <c r="H64" s="265">
        <v>42735</v>
      </c>
      <c r="I64" s="262">
        <v>0</v>
      </c>
      <c r="J64" s="259" t="s">
        <v>119</v>
      </c>
      <c r="K64" s="75">
        <f>(100%*0)</f>
        <v>0</v>
      </c>
      <c r="L64" s="168" t="s">
        <v>393</v>
      </c>
      <c r="M64" s="75">
        <f>(0%)*100%</f>
        <v>0</v>
      </c>
      <c r="N64" s="168" t="s">
        <v>396</v>
      </c>
      <c r="O64" s="193">
        <f>(40%)*100%</f>
        <v>0.4</v>
      </c>
      <c r="P64" s="172" t="s">
        <v>398</v>
      </c>
      <c r="Q64" s="193">
        <f>(67%)*100%</f>
        <v>0.67</v>
      </c>
      <c r="R64" s="82" t="s">
        <v>550</v>
      </c>
      <c r="S64" s="391"/>
      <c r="T64" s="214"/>
      <c r="U64" s="3"/>
    </row>
    <row r="65" spans="1:21" s="4" customFormat="1" ht="314.25" customHeight="1">
      <c r="A65" s="394"/>
      <c r="B65" s="276"/>
      <c r="C65" s="281"/>
      <c r="D65" s="279"/>
      <c r="E65" s="283"/>
      <c r="F65" s="258"/>
      <c r="G65" s="13" t="s">
        <v>193</v>
      </c>
      <c r="H65" s="265"/>
      <c r="I65" s="262"/>
      <c r="J65" s="259"/>
      <c r="K65" s="75">
        <f>(100%*0)</f>
        <v>0</v>
      </c>
      <c r="L65" s="21" t="s">
        <v>142</v>
      </c>
      <c r="M65" s="75">
        <f>(55%)*100%</f>
        <v>0.55</v>
      </c>
      <c r="N65" s="168" t="s">
        <v>395</v>
      </c>
      <c r="O65" s="75">
        <f>(100%)*100%</f>
        <v>1</v>
      </c>
      <c r="P65" s="172" t="s">
        <v>399</v>
      </c>
      <c r="Q65" s="193">
        <f aca="true" t="shared" si="0" ref="Q65:Q70">(100%)*100%</f>
        <v>1</v>
      </c>
      <c r="R65" s="82" t="s">
        <v>523</v>
      </c>
      <c r="S65" s="391"/>
      <c r="T65" s="214"/>
      <c r="U65" s="3"/>
    </row>
    <row r="66" spans="1:19" ht="216" customHeight="1" thickBot="1">
      <c r="A66" s="394"/>
      <c r="B66" s="276"/>
      <c r="C66" s="286"/>
      <c r="D66" s="280"/>
      <c r="E66" s="283"/>
      <c r="F66" s="258"/>
      <c r="G66" s="12" t="s">
        <v>194</v>
      </c>
      <c r="H66" s="265"/>
      <c r="I66" s="262"/>
      <c r="J66" s="259"/>
      <c r="K66" s="75">
        <f>(100%*20%)</f>
        <v>0.2</v>
      </c>
      <c r="L66" s="21" t="s">
        <v>394</v>
      </c>
      <c r="M66" s="75">
        <f>(30%)*100%</f>
        <v>0.3</v>
      </c>
      <c r="N66" s="17" t="s">
        <v>397</v>
      </c>
      <c r="O66" s="193">
        <f>(60%)*100%</f>
        <v>0.6</v>
      </c>
      <c r="P66" s="173" t="s">
        <v>400</v>
      </c>
      <c r="Q66" s="193">
        <f t="shared" si="0"/>
        <v>1</v>
      </c>
      <c r="R66" s="206" t="s">
        <v>496</v>
      </c>
      <c r="S66" s="391"/>
    </row>
    <row r="67" spans="1:19" ht="409.5" customHeight="1">
      <c r="A67" s="394">
        <v>4</v>
      </c>
      <c r="B67" s="276"/>
      <c r="C67" s="285" t="s">
        <v>22</v>
      </c>
      <c r="D67" s="278" t="s">
        <v>53</v>
      </c>
      <c r="E67" s="283" t="s">
        <v>62</v>
      </c>
      <c r="F67" s="258" t="s">
        <v>33</v>
      </c>
      <c r="G67" s="169" t="s">
        <v>195</v>
      </c>
      <c r="H67" s="265">
        <v>42735</v>
      </c>
      <c r="I67" s="262">
        <v>0</v>
      </c>
      <c r="J67" s="264" t="s">
        <v>120</v>
      </c>
      <c r="K67" s="75">
        <f>(15%)*100%</f>
        <v>0.15</v>
      </c>
      <c r="L67" s="82" t="s">
        <v>401</v>
      </c>
      <c r="M67" s="75">
        <f>(30%)*100%</f>
        <v>0.3</v>
      </c>
      <c r="N67" s="170" t="s">
        <v>404</v>
      </c>
      <c r="O67" s="193">
        <f>(60%)*100%</f>
        <v>0.6</v>
      </c>
      <c r="P67" s="62" t="s">
        <v>407</v>
      </c>
      <c r="Q67" s="193">
        <f t="shared" si="0"/>
        <v>1</v>
      </c>
      <c r="R67" s="206" t="s">
        <v>542</v>
      </c>
      <c r="S67" s="391"/>
    </row>
    <row r="68" spans="1:21" s="4" customFormat="1" ht="306.75" customHeight="1">
      <c r="A68" s="394"/>
      <c r="B68" s="276"/>
      <c r="C68" s="281"/>
      <c r="D68" s="279"/>
      <c r="E68" s="283"/>
      <c r="F68" s="258"/>
      <c r="G68" s="14" t="s">
        <v>196</v>
      </c>
      <c r="H68" s="265"/>
      <c r="I68" s="262"/>
      <c r="J68" s="264"/>
      <c r="K68" s="75">
        <f>(20%)*100%</f>
        <v>0.2</v>
      </c>
      <c r="L68" s="27" t="s">
        <v>402</v>
      </c>
      <c r="M68" s="75">
        <f>(60%)*100%</f>
        <v>0.6</v>
      </c>
      <c r="N68" s="171" t="s">
        <v>405</v>
      </c>
      <c r="O68" s="193">
        <f>(90%)*100%</f>
        <v>0.9</v>
      </c>
      <c r="P68" s="62" t="s">
        <v>408</v>
      </c>
      <c r="Q68" s="193">
        <f t="shared" si="0"/>
        <v>1</v>
      </c>
      <c r="R68" s="226" t="s">
        <v>524</v>
      </c>
      <c r="S68" s="391"/>
      <c r="T68" s="214"/>
      <c r="U68" s="3"/>
    </row>
    <row r="69" spans="1:21" s="4" customFormat="1" ht="164.25" customHeight="1" thickBot="1">
      <c r="A69" s="394"/>
      <c r="B69" s="276"/>
      <c r="C69" s="286"/>
      <c r="D69" s="280"/>
      <c r="E69" s="283"/>
      <c r="F69" s="258"/>
      <c r="G69" s="14" t="s">
        <v>197</v>
      </c>
      <c r="H69" s="265"/>
      <c r="I69" s="262"/>
      <c r="J69" s="264"/>
      <c r="K69" s="75">
        <f>(10%)*100%</f>
        <v>0.1</v>
      </c>
      <c r="L69" s="21" t="s">
        <v>403</v>
      </c>
      <c r="M69" s="75">
        <f>(40%)*100%</f>
        <v>0.4</v>
      </c>
      <c r="N69" s="171" t="s">
        <v>406</v>
      </c>
      <c r="O69" s="193">
        <f>(90%)*100%</f>
        <v>0.9</v>
      </c>
      <c r="P69" s="186" t="s">
        <v>409</v>
      </c>
      <c r="Q69" s="193">
        <f t="shared" si="0"/>
        <v>1</v>
      </c>
      <c r="R69" s="206" t="s">
        <v>497</v>
      </c>
      <c r="S69" s="391"/>
      <c r="T69" s="214"/>
      <c r="U69" s="3"/>
    </row>
    <row r="70" spans="1:21" s="4" customFormat="1" ht="318.75" customHeight="1">
      <c r="A70" s="394">
        <v>5</v>
      </c>
      <c r="B70" s="276"/>
      <c r="C70" s="285" t="s">
        <v>22</v>
      </c>
      <c r="D70" s="278" t="s">
        <v>236</v>
      </c>
      <c r="E70" s="283" t="s">
        <v>237</v>
      </c>
      <c r="F70" s="258" t="s">
        <v>33</v>
      </c>
      <c r="G70" s="169" t="s">
        <v>198</v>
      </c>
      <c r="H70" s="265">
        <v>42735</v>
      </c>
      <c r="I70" s="262">
        <v>0</v>
      </c>
      <c r="J70" s="257" t="s">
        <v>235</v>
      </c>
      <c r="K70" s="75">
        <f>(0%)*100%</f>
        <v>0</v>
      </c>
      <c r="L70" s="82" t="s">
        <v>410</v>
      </c>
      <c r="M70" s="75">
        <f>(0%)*100%</f>
        <v>0</v>
      </c>
      <c r="N70" s="82" t="s">
        <v>413</v>
      </c>
      <c r="O70" s="193">
        <f>(50%)*100%</f>
        <v>0.5</v>
      </c>
      <c r="P70" s="62" t="s">
        <v>416</v>
      </c>
      <c r="Q70" s="193">
        <f t="shared" si="0"/>
        <v>1</v>
      </c>
      <c r="R70" s="62" t="s">
        <v>535</v>
      </c>
      <c r="S70" s="391"/>
      <c r="T70" s="214"/>
      <c r="U70" s="3"/>
    </row>
    <row r="71" spans="1:21" s="4" customFormat="1" ht="205.5" customHeight="1">
      <c r="A71" s="394"/>
      <c r="B71" s="276"/>
      <c r="C71" s="281"/>
      <c r="D71" s="279"/>
      <c r="E71" s="283"/>
      <c r="F71" s="258"/>
      <c r="G71" s="14" t="s">
        <v>199</v>
      </c>
      <c r="H71" s="265"/>
      <c r="I71" s="262"/>
      <c r="J71" s="257"/>
      <c r="K71" s="75">
        <f>(25%)*100%</f>
        <v>0.25</v>
      </c>
      <c r="L71" s="27" t="s">
        <v>411</v>
      </c>
      <c r="M71" s="75">
        <f>(68%)*100%</f>
        <v>0.68</v>
      </c>
      <c r="N71" s="82" t="s">
        <v>414</v>
      </c>
      <c r="O71" s="193">
        <f>(79%)*100%</f>
        <v>0.79</v>
      </c>
      <c r="P71" s="62" t="s">
        <v>417</v>
      </c>
      <c r="Q71" s="193">
        <f>(98%)*100%</f>
        <v>0.98</v>
      </c>
      <c r="R71" s="82" t="s">
        <v>525</v>
      </c>
      <c r="S71" s="391"/>
      <c r="T71" s="214"/>
      <c r="U71" s="3"/>
    </row>
    <row r="72" spans="1:19" ht="167.25" customHeight="1" thickBot="1">
      <c r="A72" s="394"/>
      <c r="B72" s="276"/>
      <c r="C72" s="286"/>
      <c r="D72" s="280"/>
      <c r="E72" s="283"/>
      <c r="F72" s="258"/>
      <c r="G72" s="14" t="s">
        <v>200</v>
      </c>
      <c r="H72" s="265"/>
      <c r="I72" s="262"/>
      <c r="J72" s="257"/>
      <c r="K72" s="75">
        <f>(9%)*100%</f>
        <v>0.09</v>
      </c>
      <c r="L72" s="21" t="s">
        <v>412</v>
      </c>
      <c r="M72" s="75">
        <f>(39%)*100%</f>
        <v>0.39</v>
      </c>
      <c r="N72" s="82" t="s">
        <v>415</v>
      </c>
      <c r="O72" s="193">
        <f>(73%)*100%</f>
        <v>0.73</v>
      </c>
      <c r="P72" s="62" t="s">
        <v>418</v>
      </c>
      <c r="Q72" s="193">
        <f>(100%)*100%</f>
        <v>1</v>
      </c>
      <c r="R72" s="206" t="s">
        <v>498</v>
      </c>
      <c r="S72" s="391"/>
    </row>
    <row r="73" spans="1:21" s="4" customFormat="1" ht="237.75" customHeight="1">
      <c r="A73" s="394">
        <v>6</v>
      </c>
      <c r="B73" s="276"/>
      <c r="C73" s="287" t="s">
        <v>22</v>
      </c>
      <c r="D73" s="332" t="s">
        <v>52</v>
      </c>
      <c r="E73" s="283" t="s">
        <v>63</v>
      </c>
      <c r="F73" s="258" t="s">
        <v>33</v>
      </c>
      <c r="G73" s="14" t="s">
        <v>201</v>
      </c>
      <c r="H73" s="265">
        <v>42735</v>
      </c>
      <c r="I73" s="262">
        <v>0</v>
      </c>
      <c r="J73" s="259" t="s">
        <v>121</v>
      </c>
      <c r="K73" s="75">
        <f>(0%)*100%</f>
        <v>0</v>
      </c>
      <c r="L73" s="82" t="s">
        <v>419</v>
      </c>
      <c r="M73" s="75">
        <f>(0%)*100%</f>
        <v>0</v>
      </c>
      <c r="N73" s="82" t="s">
        <v>424</v>
      </c>
      <c r="O73" s="193">
        <f>(0%)*100%</f>
        <v>0</v>
      </c>
      <c r="P73" s="62" t="s">
        <v>425</v>
      </c>
      <c r="Q73" s="236">
        <f>(75%)*100%</f>
        <v>0.75</v>
      </c>
      <c r="R73" s="62" t="s">
        <v>536</v>
      </c>
      <c r="S73" s="391"/>
      <c r="T73" s="214"/>
      <c r="U73" s="3"/>
    </row>
    <row r="74" spans="1:21" s="4" customFormat="1" ht="199.5" customHeight="1">
      <c r="A74" s="394"/>
      <c r="B74" s="276"/>
      <c r="C74" s="287"/>
      <c r="D74" s="333"/>
      <c r="E74" s="283"/>
      <c r="F74" s="258"/>
      <c r="G74" s="14" t="s">
        <v>202</v>
      </c>
      <c r="H74" s="265"/>
      <c r="I74" s="262"/>
      <c r="J74" s="259"/>
      <c r="K74" s="75">
        <f>(9%)*100%</f>
        <v>0.09</v>
      </c>
      <c r="L74" s="21" t="s">
        <v>420</v>
      </c>
      <c r="M74" s="75">
        <f>(30%)*100%</f>
        <v>0.3</v>
      </c>
      <c r="N74" s="82" t="s">
        <v>423</v>
      </c>
      <c r="O74" s="193">
        <f>(100%)*100%</f>
        <v>1</v>
      </c>
      <c r="P74" s="62" t="s">
        <v>426</v>
      </c>
      <c r="Q74" s="193">
        <f>(100%)*100%</f>
        <v>1</v>
      </c>
      <c r="R74" s="82" t="s">
        <v>526</v>
      </c>
      <c r="S74" s="391"/>
      <c r="T74" s="214"/>
      <c r="U74" s="3"/>
    </row>
    <row r="75" spans="1:19" ht="297" customHeight="1" thickBot="1">
      <c r="A75" s="394"/>
      <c r="B75" s="276"/>
      <c r="C75" s="287"/>
      <c r="D75" s="334"/>
      <c r="E75" s="283"/>
      <c r="F75" s="258"/>
      <c r="G75" s="14" t="s">
        <v>203</v>
      </c>
      <c r="H75" s="265"/>
      <c r="I75" s="262"/>
      <c r="J75" s="259"/>
      <c r="K75" s="75">
        <f>(40%)*100%</f>
        <v>0.4</v>
      </c>
      <c r="L75" s="21" t="s">
        <v>421</v>
      </c>
      <c r="M75" s="75">
        <f>(40%)*100%</f>
        <v>0.4</v>
      </c>
      <c r="N75" s="82" t="s">
        <v>422</v>
      </c>
      <c r="O75" s="193">
        <f>(40%)*100%</f>
        <v>0.4</v>
      </c>
      <c r="P75" s="62" t="s">
        <v>427</v>
      </c>
      <c r="Q75" s="193">
        <f>(100%)*100%</f>
        <v>1</v>
      </c>
      <c r="R75" s="206" t="s">
        <v>499</v>
      </c>
      <c r="S75" s="391"/>
    </row>
    <row r="76" spans="1:21" s="4" customFormat="1" ht="312.75" customHeight="1">
      <c r="A76" s="394">
        <v>7</v>
      </c>
      <c r="B76" s="276"/>
      <c r="C76" s="281" t="s">
        <v>22</v>
      </c>
      <c r="D76" s="278" t="s">
        <v>57</v>
      </c>
      <c r="E76" s="283" t="s">
        <v>58</v>
      </c>
      <c r="F76" s="258" t="s">
        <v>33</v>
      </c>
      <c r="G76" s="169" t="s">
        <v>204</v>
      </c>
      <c r="H76" s="265">
        <v>42735</v>
      </c>
      <c r="I76" s="262">
        <v>0</v>
      </c>
      <c r="J76" s="259" t="s">
        <v>250</v>
      </c>
      <c r="K76" s="75">
        <f>(25%)*100%</f>
        <v>0.25</v>
      </c>
      <c r="L76" s="82" t="s">
        <v>428</v>
      </c>
      <c r="M76" s="75">
        <f>(35%)*100%</f>
        <v>0.35</v>
      </c>
      <c r="N76" s="82" t="s">
        <v>430</v>
      </c>
      <c r="O76" s="75">
        <f>(77.5%)*100%</f>
        <v>0.775</v>
      </c>
      <c r="P76" s="62" t="s">
        <v>433</v>
      </c>
      <c r="Q76" s="193">
        <f>(100%)*100%</f>
        <v>1</v>
      </c>
      <c r="R76" s="82" t="s">
        <v>543</v>
      </c>
      <c r="S76" s="391"/>
      <c r="T76" s="214"/>
      <c r="U76" s="3"/>
    </row>
    <row r="77" spans="1:21" s="4" customFormat="1" ht="253.5" customHeight="1">
      <c r="A77" s="394"/>
      <c r="B77" s="276"/>
      <c r="C77" s="281"/>
      <c r="D77" s="279"/>
      <c r="E77" s="283"/>
      <c r="F77" s="258"/>
      <c r="G77" s="14" t="s">
        <v>205</v>
      </c>
      <c r="H77" s="265"/>
      <c r="I77" s="262"/>
      <c r="J77" s="259"/>
      <c r="K77" s="75">
        <f>(0%)*100%</f>
        <v>0</v>
      </c>
      <c r="L77" s="21" t="s">
        <v>143</v>
      </c>
      <c r="M77" s="75">
        <f>(25%)*100%</f>
        <v>0.25</v>
      </c>
      <c r="N77" s="82" t="s">
        <v>431</v>
      </c>
      <c r="O77" s="193">
        <f>(25%)*100%</f>
        <v>0.25</v>
      </c>
      <c r="P77" s="62" t="s">
        <v>434</v>
      </c>
      <c r="Q77" s="193">
        <f>(25%)*100%</f>
        <v>0.25</v>
      </c>
      <c r="R77" s="82" t="s">
        <v>527</v>
      </c>
      <c r="S77" s="391"/>
      <c r="T77" s="214"/>
      <c r="U77" s="3"/>
    </row>
    <row r="78" spans="1:21" s="4" customFormat="1" ht="184.5" customHeight="1" thickBot="1">
      <c r="A78" s="394"/>
      <c r="B78" s="277"/>
      <c r="C78" s="282"/>
      <c r="D78" s="280"/>
      <c r="E78" s="284"/>
      <c r="F78" s="423"/>
      <c r="G78" s="55" t="s">
        <v>206</v>
      </c>
      <c r="H78" s="410"/>
      <c r="I78" s="263"/>
      <c r="J78" s="409"/>
      <c r="K78" s="76">
        <f>(0%)*100%</f>
        <v>0</v>
      </c>
      <c r="L78" s="54" t="s">
        <v>429</v>
      </c>
      <c r="M78" s="76">
        <f>(0%)*100%</f>
        <v>0</v>
      </c>
      <c r="N78" s="174" t="s">
        <v>432</v>
      </c>
      <c r="O78" s="193">
        <f>(0%)*100%</f>
        <v>0</v>
      </c>
      <c r="P78" s="63" t="s">
        <v>432</v>
      </c>
      <c r="Q78" s="227">
        <f>(100%)*100%</f>
        <v>1</v>
      </c>
      <c r="R78" s="207" t="s">
        <v>500</v>
      </c>
      <c r="S78" s="392"/>
      <c r="T78" s="214"/>
      <c r="U78" s="3"/>
    </row>
    <row r="79" spans="1:19" ht="365.25" customHeight="1" thickBot="1">
      <c r="A79" s="395">
        <v>1</v>
      </c>
      <c r="B79" s="399" t="s">
        <v>8</v>
      </c>
      <c r="C79" s="326" t="s">
        <v>22</v>
      </c>
      <c r="D79" s="327" t="s">
        <v>48</v>
      </c>
      <c r="E79" s="252" t="s">
        <v>86</v>
      </c>
      <c r="F79" s="254" t="s">
        <v>25</v>
      </c>
      <c r="G79" s="44" t="s">
        <v>207</v>
      </c>
      <c r="H79" s="387">
        <v>42735</v>
      </c>
      <c r="I79" s="260">
        <v>0</v>
      </c>
      <c r="J79" s="411" t="s">
        <v>225</v>
      </c>
      <c r="K79" s="194">
        <f>(100%*1)</f>
        <v>1</v>
      </c>
      <c r="L79" s="45" t="s">
        <v>435</v>
      </c>
      <c r="M79" s="194">
        <f>(100%*1)</f>
        <v>1</v>
      </c>
      <c r="N79" s="45" t="s">
        <v>437</v>
      </c>
      <c r="O79" s="194">
        <f>(100%*1)</f>
        <v>1</v>
      </c>
      <c r="P79" s="181" t="s">
        <v>439</v>
      </c>
      <c r="Q79" s="220">
        <f>(100%*1)</f>
        <v>1</v>
      </c>
      <c r="R79" s="181" t="s">
        <v>474</v>
      </c>
      <c r="S79" s="371">
        <f>(Q79+Q80+Q81+Q82+Q83+Q84+Q85+Q86+Q87+Q88+Q89+Q90+Q91+Q92+Q93)/15</f>
        <v>1</v>
      </c>
    </row>
    <row r="80" spans="1:21" s="4" customFormat="1" ht="179.25" customHeight="1">
      <c r="A80" s="396"/>
      <c r="B80" s="400"/>
      <c r="C80" s="326"/>
      <c r="D80" s="330"/>
      <c r="E80" s="253"/>
      <c r="F80" s="255"/>
      <c r="G80" s="15" t="s">
        <v>208</v>
      </c>
      <c r="H80" s="378"/>
      <c r="I80" s="261"/>
      <c r="J80" s="412"/>
      <c r="K80" s="78">
        <f>(100%*0)</f>
        <v>0</v>
      </c>
      <c r="L80" s="28" t="s">
        <v>223</v>
      </c>
      <c r="M80" s="78">
        <f>(100%*0)</f>
        <v>0</v>
      </c>
      <c r="N80" s="176" t="s">
        <v>438</v>
      </c>
      <c r="O80" s="77">
        <f>(100%*50%)</f>
        <v>0.5</v>
      </c>
      <c r="P80" s="181" t="s">
        <v>440</v>
      </c>
      <c r="Q80" s="194">
        <f>(100%*100%)</f>
        <v>1</v>
      </c>
      <c r="R80" s="210" t="s">
        <v>528</v>
      </c>
      <c r="S80" s="372"/>
      <c r="T80" s="214"/>
      <c r="U80" s="3"/>
    </row>
    <row r="81" spans="1:21" s="4" customFormat="1" ht="212.25" customHeight="1" thickBot="1">
      <c r="A81" s="397"/>
      <c r="B81" s="400"/>
      <c r="C81" s="329"/>
      <c r="D81" s="328"/>
      <c r="E81" s="253"/>
      <c r="F81" s="255"/>
      <c r="G81" s="15" t="s">
        <v>209</v>
      </c>
      <c r="H81" s="378"/>
      <c r="I81" s="261"/>
      <c r="J81" s="412"/>
      <c r="K81" s="195">
        <f>(100%*1)</f>
        <v>1</v>
      </c>
      <c r="L81" s="22" t="s">
        <v>436</v>
      </c>
      <c r="M81" s="195">
        <f>(100%*1)</f>
        <v>1</v>
      </c>
      <c r="N81" s="176" t="s">
        <v>243</v>
      </c>
      <c r="O81" s="195">
        <f>(100%*1)</f>
        <v>1</v>
      </c>
      <c r="P81" s="64" t="s">
        <v>243</v>
      </c>
      <c r="Q81" s="195">
        <f>(100%*1)</f>
        <v>1</v>
      </c>
      <c r="R81" s="208" t="s">
        <v>243</v>
      </c>
      <c r="S81" s="372"/>
      <c r="T81" s="214"/>
      <c r="U81" s="3"/>
    </row>
    <row r="82" spans="1:21" s="4" customFormat="1" ht="174" customHeight="1">
      <c r="A82" s="395">
        <v>2</v>
      </c>
      <c r="B82" s="400"/>
      <c r="C82" s="326" t="s">
        <v>22</v>
      </c>
      <c r="D82" s="380" t="s">
        <v>54</v>
      </c>
      <c r="E82" s="253" t="s">
        <v>87</v>
      </c>
      <c r="F82" s="255" t="s">
        <v>25</v>
      </c>
      <c r="G82" s="175" t="s">
        <v>210</v>
      </c>
      <c r="H82" s="378">
        <v>42735</v>
      </c>
      <c r="I82" s="261">
        <v>12</v>
      </c>
      <c r="J82" s="331" t="s">
        <v>122</v>
      </c>
      <c r="K82" s="78">
        <f>(3/12)*100%</f>
        <v>0.25</v>
      </c>
      <c r="L82" s="99" t="s">
        <v>441</v>
      </c>
      <c r="M82" s="78">
        <f>(6/12)*100%</f>
        <v>0.5</v>
      </c>
      <c r="N82" s="99" t="s">
        <v>446</v>
      </c>
      <c r="O82" s="195">
        <f>(9/12)*100%</f>
        <v>0.75</v>
      </c>
      <c r="P82" s="65" t="s">
        <v>251</v>
      </c>
      <c r="Q82" s="195">
        <f>(12/12)*100%</f>
        <v>1</v>
      </c>
      <c r="R82" s="211" t="s">
        <v>501</v>
      </c>
      <c r="S82" s="372"/>
      <c r="T82" s="214"/>
      <c r="U82" s="3"/>
    </row>
    <row r="83" spans="1:21" s="4" customFormat="1" ht="111.75" customHeight="1">
      <c r="A83" s="396"/>
      <c r="B83" s="400"/>
      <c r="C83" s="326"/>
      <c r="D83" s="381"/>
      <c r="E83" s="253"/>
      <c r="F83" s="255"/>
      <c r="G83" s="15" t="s">
        <v>211</v>
      </c>
      <c r="H83" s="378"/>
      <c r="I83" s="261"/>
      <c r="J83" s="331"/>
      <c r="K83" s="78">
        <f>(3/12)*100%</f>
        <v>0.25</v>
      </c>
      <c r="L83" s="28" t="s">
        <v>442</v>
      </c>
      <c r="M83" s="78">
        <f>(6/12)*100%</f>
        <v>0.5</v>
      </c>
      <c r="N83" s="99" t="s">
        <v>444</v>
      </c>
      <c r="O83" s="195">
        <f>(9/12)*100%</f>
        <v>0.75</v>
      </c>
      <c r="P83" s="65" t="s">
        <v>447</v>
      </c>
      <c r="Q83" s="195">
        <f>(12/12)*100%</f>
        <v>1</v>
      </c>
      <c r="R83" s="85" t="s">
        <v>529</v>
      </c>
      <c r="S83" s="372"/>
      <c r="T83" s="214"/>
      <c r="U83" s="3"/>
    </row>
    <row r="84" spans="1:21" s="4" customFormat="1" ht="170.25" customHeight="1" thickBot="1">
      <c r="A84" s="397"/>
      <c r="B84" s="400"/>
      <c r="C84" s="329"/>
      <c r="D84" s="382"/>
      <c r="E84" s="253"/>
      <c r="F84" s="255"/>
      <c r="G84" s="15" t="s">
        <v>212</v>
      </c>
      <c r="H84" s="378"/>
      <c r="I84" s="261"/>
      <c r="J84" s="331"/>
      <c r="K84" s="78">
        <f>(3/12)*100%</f>
        <v>0.25</v>
      </c>
      <c r="L84" s="22" t="s">
        <v>443</v>
      </c>
      <c r="M84" s="78">
        <f>(6/12)*100%</f>
        <v>0.5</v>
      </c>
      <c r="N84" s="99" t="s">
        <v>445</v>
      </c>
      <c r="O84" s="195">
        <f>(9/12)*100%</f>
        <v>0.75</v>
      </c>
      <c r="P84" s="65" t="s">
        <v>445</v>
      </c>
      <c r="Q84" s="195">
        <f>(12/12)*100%</f>
        <v>1</v>
      </c>
      <c r="R84" s="209" t="s">
        <v>502</v>
      </c>
      <c r="S84" s="372"/>
      <c r="T84" s="214"/>
      <c r="U84" s="3"/>
    </row>
    <row r="85" spans="1:19" ht="360.75" customHeight="1">
      <c r="A85" s="395">
        <v>3</v>
      </c>
      <c r="B85" s="401"/>
      <c r="C85" s="325" t="s">
        <v>22</v>
      </c>
      <c r="D85" s="327" t="s">
        <v>49</v>
      </c>
      <c r="E85" s="253" t="s">
        <v>45</v>
      </c>
      <c r="F85" s="255" t="s">
        <v>33</v>
      </c>
      <c r="G85" s="175" t="s">
        <v>213</v>
      </c>
      <c r="H85" s="378">
        <v>42735</v>
      </c>
      <c r="I85" s="261">
        <v>0</v>
      </c>
      <c r="J85" s="253" t="s">
        <v>123</v>
      </c>
      <c r="K85" s="78">
        <f>(12.24%)*100%</f>
        <v>0.12240000000000001</v>
      </c>
      <c r="L85" s="177" t="s">
        <v>450</v>
      </c>
      <c r="M85" s="78">
        <f>(50%)*100%</f>
        <v>0.5</v>
      </c>
      <c r="N85" s="85" t="s">
        <v>448</v>
      </c>
      <c r="O85" s="195">
        <f>(75%)*100%</f>
        <v>0.75</v>
      </c>
      <c r="P85" s="67" t="s">
        <v>453</v>
      </c>
      <c r="Q85" s="244">
        <f>(100%)*100%</f>
        <v>1</v>
      </c>
      <c r="R85" s="234" t="s">
        <v>562</v>
      </c>
      <c r="S85" s="373"/>
    </row>
    <row r="86" spans="1:21" s="4" customFormat="1" ht="155.25" customHeight="1" thickBot="1">
      <c r="A86" s="396"/>
      <c r="B86" s="401"/>
      <c r="C86" s="326"/>
      <c r="D86" s="328"/>
      <c r="E86" s="253"/>
      <c r="F86" s="255"/>
      <c r="G86" s="178" t="s">
        <v>214</v>
      </c>
      <c r="H86" s="378"/>
      <c r="I86" s="261"/>
      <c r="J86" s="253"/>
      <c r="K86" s="78">
        <f>(25%)*100%</f>
        <v>0.25</v>
      </c>
      <c r="L86" s="22" t="s">
        <v>449</v>
      </c>
      <c r="M86" s="78">
        <f>(50%)*100%</f>
        <v>0.5</v>
      </c>
      <c r="N86" s="85" t="s">
        <v>452</v>
      </c>
      <c r="O86" s="195">
        <f>(75%)*100%</f>
        <v>0.75</v>
      </c>
      <c r="P86" s="67" t="s">
        <v>454</v>
      </c>
      <c r="Q86" s="195">
        <f>(100%)*100%</f>
        <v>1</v>
      </c>
      <c r="R86" s="209" t="s">
        <v>503</v>
      </c>
      <c r="S86" s="373"/>
      <c r="T86" s="214"/>
      <c r="U86" s="3"/>
    </row>
    <row r="87" spans="1:21" s="4" customFormat="1" ht="178.5" customHeight="1">
      <c r="A87" s="404">
        <v>4</v>
      </c>
      <c r="B87" s="401"/>
      <c r="C87" s="386" t="s">
        <v>22</v>
      </c>
      <c r="D87" s="380" t="s">
        <v>50</v>
      </c>
      <c r="E87" s="253" t="s">
        <v>55</v>
      </c>
      <c r="F87" s="255" t="s">
        <v>25</v>
      </c>
      <c r="G87" s="178" t="s">
        <v>215</v>
      </c>
      <c r="H87" s="378">
        <v>42735</v>
      </c>
      <c r="I87" s="261">
        <v>0</v>
      </c>
      <c r="J87" s="412" t="s">
        <v>124</v>
      </c>
      <c r="K87" s="78">
        <f>(1/4)*100%</f>
        <v>0.25</v>
      </c>
      <c r="L87" s="179" t="s">
        <v>455</v>
      </c>
      <c r="M87" s="78">
        <f>(2/4)*100%</f>
        <v>0.5</v>
      </c>
      <c r="N87" s="179" t="s">
        <v>451</v>
      </c>
      <c r="O87" s="195">
        <f>(3/4)*100%</f>
        <v>0.75</v>
      </c>
      <c r="P87" s="67" t="s">
        <v>504</v>
      </c>
      <c r="Q87" s="195">
        <f>(4/4)*100%</f>
        <v>1</v>
      </c>
      <c r="R87" s="209" t="s">
        <v>544</v>
      </c>
      <c r="S87" s="373"/>
      <c r="T87" s="214"/>
      <c r="U87" s="3"/>
    </row>
    <row r="88" spans="1:21" s="4" customFormat="1" ht="246" customHeight="1" thickBot="1">
      <c r="A88" s="404"/>
      <c r="B88" s="401"/>
      <c r="C88" s="386"/>
      <c r="D88" s="382"/>
      <c r="E88" s="253"/>
      <c r="F88" s="255"/>
      <c r="G88" s="178" t="s">
        <v>216</v>
      </c>
      <c r="H88" s="378"/>
      <c r="I88" s="261"/>
      <c r="J88" s="412"/>
      <c r="K88" s="78">
        <f>(1/4)*100%</f>
        <v>0.25</v>
      </c>
      <c r="L88" s="180" t="s">
        <v>456</v>
      </c>
      <c r="M88" s="78">
        <f>(2/4)*100%</f>
        <v>0.5</v>
      </c>
      <c r="N88" s="179" t="s">
        <v>457</v>
      </c>
      <c r="O88" s="195">
        <f>(3/4)*100%</f>
        <v>0.75</v>
      </c>
      <c r="P88" s="182" t="s">
        <v>505</v>
      </c>
      <c r="Q88" s="195">
        <f>(4/4)*100%</f>
        <v>1</v>
      </c>
      <c r="R88" s="209" t="s">
        <v>506</v>
      </c>
      <c r="S88" s="373"/>
      <c r="T88" s="214"/>
      <c r="U88" s="3"/>
    </row>
    <row r="89" spans="1:21" s="4" customFormat="1" ht="198.75" customHeight="1">
      <c r="A89" s="404">
        <v>5</v>
      </c>
      <c r="B89" s="401"/>
      <c r="C89" s="386" t="s">
        <v>22</v>
      </c>
      <c r="D89" s="380" t="s">
        <v>50</v>
      </c>
      <c r="E89" s="253" t="s">
        <v>56</v>
      </c>
      <c r="F89" s="255" t="s">
        <v>25</v>
      </c>
      <c r="G89" s="178" t="s">
        <v>217</v>
      </c>
      <c r="H89" s="378">
        <v>42735</v>
      </c>
      <c r="I89" s="261">
        <v>0</v>
      </c>
      <c r="J89" s="412" t="s">
        <v>125</v>
      </c>
      <c r="K89" s="78">
        <f>(1/4)*100%</f>
        <v>0.25</v>
      </c>
      <c r="L89" s="179" t="s">
        <v>458</v>
      </c>
      <c r="M89" s="78">
        <f>(2/4)*100%</f>
        <v>0.5</v>
      </c>
      <c r="N89" s="179" t="s">
        <v>460</v>
      </c>
      <c r="O89" s="195">
        <f>(3/4)*100%</f>
        <v>0.75</v>
      </c>
      <c r="P89" s="67" t="s">
        <v>462</v>
      </c>
      <c r="Q89" s="195">
        <f>(4/4)*100%</f>
        <v>1</v>
      </c>
      <c r="R89" s="209" t="s">
        <v>545</v>
      </c>
      <c r="S89" s="373"/>
      <c r="T89" s="214"/>
      <c r="U89" s="3"/>
    </row>
    <row r="90" spans="1:19" ht="264" customHeight="1" thickBot="1">
      <c r="A90" s="404"/>
      <c r="B90" s="401"/>
      <c r="C90" s="386"/>
      <c r="D90" s="382"/>
      <c r="E90" s="253"/>
      <c r="F90" s="255"/>
      <c r="G90" s="178" t="s">
        <v>218</v>
      </c>
      <c r="H90" s="378"/>
      <c r="I90" s="261"/>
      <c r="J90" s="412"/>
      <c r="K90" s="78">
        <f>(1/4)*100%</f>
        <v>0.25</v>
      </c>
      <c r="L90" s="180" t="s">
        <v>459</v>
      </c>
      <c r="M90" s="78">
        <f>(2/4)*100%</f>
        <v>0.5</v>
      </c>
      <c r="N90" s="179" t="s">
        <v>461</v>
      </c>
      <c r="O90" s="195">
        <f>(3/4)*100%</f>
        <v>0.75</v>
      </c>
      <c r="P90" s="182" t="s">
        <v>461</v>
      </c>
      <c r="Q90" s="195">
        <f>(4/4)*100%</f>
        <v>1</v>
      </c>
      <c r="R90" s="209" t="s">
        <v>507</v>
      </c>
      <c r="S90" s="373"/>
    </row>
    <row r="91" spans="1:21" s="4" customFormat="1" ht="203.25" customHeight="1" thickBot="1">
      <c r="A91" s="395">
        <v>6</v>
      </c>
      <c r="B91" s="402"/>
      <c r="C91" s="325" t="s">
        <v>22</v>
      </c>
      <c r="D91" s="380" t="s">
        <v>64</v>
      </c>
      <c r="E91" s="253" t="s">
        <v>81</v>
      </c>
      <c r="F91" s="255" t="s">
        <v>25</v>
      </c>
      <c r="G91" s="175" t="s">
        <v>219</v>
      </c>
      <c r="H91" s="378">
        <v>42735</v>
      </c>
      <c r="I91" s="261">
        <v>0</v>
      </c>
      <c r="J91" s="331" t="s">
        <v>126</v>
      </c>
      <c r="K91" s="78">
        <f>(50%)*100%</f>
        <v>0.5</v>
      </c>
      <c r="L91" s="85" t="s">
        <v>463</v>
      </c>
      <c r="M91" s="78">
        <f>(50%)*100%</f>
        <v>0.5</v>
      </c>
      <c r="N91" s="85" t="s">
        <v>466</v>
      </c>
      <c r="O91" s="195">
        <f>(100%)*100%</f>
        <v>1</v>
      </c>
      <c r="P91" s="67" t="s">
        <v>469</v>
      </c>
      <c r="Q91" s="195">
        <f>(100%)*100%</f>
        <v>1</v>
      </c>
      <c r="R91" s="212" t="s">
        <v>508</v>
      </c>
      <c r="S91" s="374"/>
      <c r="T91" s="214"/>
      <c r="U91" s="3"/>
    </row>
    <row r="92" spans="1:21" s="4" customFormat="1" ht="240" customHeight="1">
      <c r="A92" s="396"/>
      <c r="B92" s="402"/>
      <c r="C92" s="326"/>
      <c r="D92" s="381"/>
      <c r="E92" s="253"/>
      <c r="F92" s="255"/>
      <c r="G92" s="15" t="s">
        <v>220</v>
      </c>
      <c r="H92" s="378"/>
      <c r="I92" s="261"/>
      <c r="J92" s="331"/>
      <c r="K92" s="78">
        <f>(50%)*100%</f>
        <v>0.5</v>
      </c>
      <c r="L92" s="22" t="s">
        <v>464</v>
      </c>
      <c r="M92" s="195">
        <f>(100%)*100%</f>
        <v>1</v>
      </c>
      <c r="N92" s="85" t="s">
        <v>467</v>
      </c>
      <c r="O92" s="195">
        <f>(100%)*100%</f>
        <v>1</v>
      </c>
      <c r="P92" s="85" t="s">
        <v>467</v>
      </c>
      <c r="Q92" s="195">
        <f>(100%)*100%</f>
        <v>1</v>
      </c>
      <c r="R92" s="228" t="s">
        <v>530</v>
      </c>
      <c r="S92" s="374"/>
      <c r="T92" s="214"/>
      <c r="U92" s="3"/>
    </row>
    <row r="93" spans="1:19" ht="362.25" customHeight="1" thickBot="1">
      <c r="A93" s="398"/>
      <c r="B93" s="403"/>
      <c r="C93" s="379"/>
      <c r="D93" s="382"/>
      <c r="E93" s="383"/>
      <c r="F93" s="384"/>
      <c r="G93" s="16" t="s">
        <v>221</v>
      </c>
      <c r="H93" s="385"/>
      <c r="I93" s="406"/>
      <c r="J93" s="405"/>
      <c r="K93" s="79">
        <f>(50%)*100%</f>
        <v>0.5</v>
      </c>
      <c r="L93" s="43" t="s">
        <v>465</v>
      </c>
      <c r="M93" s="196">
        <f>(100%)*100%</f>
        <v>1</v>
      </c>
      <c r="N93" s="98" t="s">
        <v>468</v>
      </c>
      <c r="O93" s="196">
        <f>(100%)*100%</f>
        <v>1</v>
      </c>
      <c r="P93" s="66" t="s">
        <v>470</v>
      </c>
      <c r="Q93" s="196">
        <f>(100%)*100%</f>
        <v>1</v>
      </c>
      <c r="R93" s="209" t="s">
        <v>509</v>
      </c>
      <c r="S93" s="375"/>
    </row>
    <row r="94" spans="1:19" ht="40.5" customHeight="1">
      <c r="A94" s="388"/>
      <c r="R94" s="247" t="s">
        <v>564</v>
      </c>
      <c r="S94" s="248">
        <f>(S5+S20+S47+S58+S79)/5</f>
        <v>0.9693404434032328</v>
      </c>
    </row>
    <row r="95" ht="21">
      <c r="A95" s="389"/>
    </row>
  </sheetData>
  <sheetProtection/>
  <mergeCells count="235">
    <mergeCell ref="F73:F75"/>
    <mergeCell ref="F76:F78"/>
    <mergeCell ref="F52:F54"/>
    <mergeCell ref="F55:F57"/>
    <mergeCell ref="J44:J46"/>
    <mergeCell ref="J47:J49"/>
    <mergeCell ref="F50:F51"/>
    <mergeCell ref="I89:I90"/>
    <mergeCell ref="J89:J90"/>
    <mergeCell ref="J87:J88"/>
    <mergeCell ref="I41:I43"/>
    <mergeCell ref="I44:I46"/>
    <mergeCell ref="I47:I49"/>
    <mergeCell ref="H44:H46"/>
    <mergeCell ref="D82:D84"/>
    <mergeCell ref="C70:C72"/>
    <mergeCell ref="I20:I22"/>
    <mergeCell ref="F87:F88"/>
    <mergeCell ref="H87:H88"/>
    <mergeCell ref="I87:I88"/>
    <mergeCell ref="H38:H40"/>
    <mergeCell ref="D70:D72"/>
    <mergeCell ref="H70:H72"/>
    <mergeCell ref="I91:I93"/>
    <mergeCell ref="F89:F90"/>
    <mergeCell ref="A2:A4"/>
    <mergeCell ref="J76:J78"/>
    <mergeCell ref="H76:H78"/>
    <mergeCell ref="J79:J81"/>
    <mergeCell ref="B5:B19"/>
    <mergeCell ref="A87:A88"/>
    <mergeCell ref="I52:I54"/>
    <mergeCell ref="I55:I57"/>
    <mergeCell ref="A79:A81"/>
    <mergeCell ref="A82:A84"/>
    <mergeCell ref="A85:A86"/>
    <mergeCell ref="A91:A93"/>
    <mergeCell ref="E87:E88"/>
    <mergeCell ref="E89:E90"/>
    <mergeCell ref="B79:B93"/>
    <mergeCell ref="A89:A90"/>
    <mergeCell ref="E85:E86"/>
    <mergeCell ref="A61:A63"/>
    <mergeCell ref="A64:A66"/>
    <mergeCell ref="A67:A69"/>
    <mergeCell ref="A70:A72"/>
    <mergeCell ref="A73:A75"/>
    <mergeCell ref="A76:A78"/>
    <mergeCell ref="E70:E72"/>
    <mergeCell ref="F70:F72"/>
    <mergeCell ref="H89:H90"/>
    <mergeCell ref="A94:A95"/>
    <mergeCell ref="S58:S78"/>
    <mergeCell ref="A47:A49"/>
    <mergeCell ref="A50:A51"/>
    <mergeCell ref="A52:A54"/>
    <mergeCell ref="A55:A57"/>
    <mergeCell ref="A58:A60"/>
    <mergeCell ref="C91:C93"/>
    <mergeCell ref="D91:D93"/>
    <mergeCell ref="E91:E93"/>
    <mergeCell ref="F91:F93"/>
    <mergeCell ref="H91:H93"/>
    <mergeCell ref="C82:C84"/>
    <mergeCell ref="C87:C88"/>
    <mergeCell ref="C89:C90"/>
    <mergeCell ref="D87:D88"/>
    <mergeCell ref="D89:D90"/>
    <mergeCell ref="S79:S93"/>
    <mergeCell ref="F58:F60"/>
    <mergeCell ref="J50:J51"/>
    <mergeCell ref="I85:I86"/>
    <mergeCell ref="F85:F86"/>
    <mergeCell ref="H85:H86"/>
    <mergeCell ref="F82:F84"/>
    <mergeCell ref="H82:H84"/>
    <mergeCell ref="H79:H81"/>
    <mergeCell ref="J91:J93"/>
    <mergeCell ref="H2:H4"/>
    <mergeCell ref="J2:J4"/>
    <mergeCell ref="K2:R2"/>
    <mergeCell ref="I2:I4"/>
    <mergeCell ref="S3:S4"/>
    <mergeCell ref="F2:F4"/>
    <mergeCell ref="B1:S1"/>
    <mergeCell ref="B2:B4"/>
    <mergeCell ref="C2:C4"/>
    <mergeCell ref="D2:D4"/>
    <mergeCell ref="E2:E4"/>
    <mergeCell ref="K3:L3"/>
    <mergeCell ref="M3:N3"/>
    <mergeCell ref="O3:P3"/>
    <mergeCell ref="Q3:R3"/>
    <mergeCell ref="G2:G4"/>
    <mergeCell ref="F41:F43"/>
    <mergeCell ref="I23:I25"/>
    <mergeCell ref="I26:I28"/>
    <mergeCell ref="I29:I31"/>
    <mergeCell ref="I32:I34"/>
    <mergeCell ref="I35:I37"/>
    <mergeCell ref="I38:I40"/>
    <mergeCell ref="J29:J31"/>
    <mergeCell ref="J32:J34"/>
    <mergeCell ref="J35:J37"/>
    <mergeCell ref="J26:J28"/>
    <mergeCell ref="H41:H43"/>
    <mergeCell ref="J38:J40"/>
    <mergeCell ref="C20:C22"/>
    <mergeCell ref="D20:D22"/>
    <mergeCell ref="H20:H22"/>
    <mergeCell ref="H23:H25"/>
    <mergeCell ref="F20:F22"/>
    <mergeCell ref="F38:F40"/>
    <mergeCell ref="H32:H34"/>
    <mergeCell ref="E44:E46"/>
    <mergeCell ref="C55:C57"/>
    <mergeCell ref="E55:E57"/>
    <mergeCell ref="E52:E54"/>
    <mergeCell ref="C50:C51"/>
    <mergeCell ref="D50:D51"/>
    <mergeCell ref="E50:E51"/>
    <mergeCell ref="E47:E49"/>
    <mergeCell ref="C85:C86"/>
    <mergeCell ref="D85:D86"/>
    <mergeCell ref="C79:C81"/>
    <mergeCell ref="D79:D81"/>
    <mergeCell ref="I82:I84"/>
    <mergeCell ref="J82:J84"/>
    <mergeCell ref="E82:E84"/>
    <mergeCell ref="F23:F25"/>
    <mergeCell ref="S20:S46"/>
    <mergeCell ref="S47:S57"/>
    <mergeCell ref="S5:S19"/>
    <mergeCell ref="I50:I51"/>
    <mergeCell ref="J20:J22"/>
    <mergeCell ref="J23:J25"/>
    <mergeCell ref="J41:J43"/>
    <mergeCell ref="F47:F49"/>
    <mergeCell ref="H47:H49"/>
    <mergeCell ref="F29:F31"/>
    <mergeCell ref="F35:F37"/>
    <mergeCell ref="H35:H37"/>
    <mergeCell ref="A35:A37"/>
    <mergeCell ref="H26:H28"/>
    <mergeCell ref="H29:H31"/>
    <mergeCell ref="C29:C31"/>
    <mergeCell ref="D29:D31"/>
    <mergeCell ref="E35:E37"/>
    <mergeCell ref="E23:E25"/>
    <mergeCell ref="D23:D25"/>
    <mergeCell ref="E41:E43"/>
    <mergeCell ref="D26:D28"/>
    <mergeCell ref="E26:E28"/>
    <mergeCell ref="D32:D34"/>
    <mergeCell ref="D35:D37"/>
    <mergeCell ref="E32:E34"/>
    <mergeCell ref="D38:D40"/>
    <mergeCell ref="E38:E40"/>
    <mergeCell ref="F44:F46"/>
    <mergeCell ref="C41:C43"/>
    <mergeCell ref="D41:D43"/>
    <mergeCell ref="E29:E31"/>
    <mergeCell ref="F26:F28"/>
    <mergeCell ref="C26:C28"/>
    <mergeCell ref="C32:C34"/>
    <mergeCell ref="C35:C37"/>
    <mergeCell ref="C38:C40"/>
    <mergeCell ref="F32:F34"/>
    <mergeCell ref="A38:A40"/>
    <mergeCell ref="B20:B46"/>
    <mergeCell ref="C44:C46"/>
    <mergeCell ref="D44:D46"/>
    <mergeCell ref="A41:A43"/>
    <mergeCell ref="A44:A46"/>
    <mergeCell ref="A23:A25"/>
    <mergeCell ref="A26:A28"/>
    <mergeCell ref="A29:A31"/>
    <mergeCell ref="A32:A34"/>
    <mergeCell ref="C73:C75"/>
    <mergeCell ref="E73:E75"/>
    <mergeCell ref="E58:E60"/>
    <mergeCell ref="B47:B57"/>
    <mergeCell ref="D47:D49"/>
    <mergeCell ref="D52:D54"/>
    <mergeCell ref="D55:D57"/>
    <mergeCell ref="C47:C49"/>
    <mergeCell ref="D61:D63"/>
    <mergeCell ref="D73:D75"/>
    <mergeCell ref="C67:C69"/>
    <mergeCell ref="E61:E63"/>
    <mergeCell ref="C58:C60"/>
    <mergeCell ref="D58:D60"/>
    <mergeCell ref="D67:D69"/>
    <mergeCell ref="E67:E69"/>
    <mergeCell ref="C61:C63"/>
    <mergeCell ref="E20:E22"/>
    <mergeCell ref="C23:C25"/>
    <mergeCell ref="A20:A22"/>
    <mergeCell ref="B58:B78"/>
    <mergeCell ref="D76:D78"/>
    <mergeCell ref="C76:C78"/>
    <mergeCell ref="E76:E78"/>
    <mergeCell ref="C64:C66"/>
    <mergeCell ref="D64:D66"/>
    <mergeCell ref="E64:E66"/>
    <mergeCell ref="J55:J57"/>
    <mergeCell ref="H61:H63"/>
    <mergeCell ref="H64:H66"/>
    <mergeCell ref="H52:H54"/>
    <mergeCell ref="J52:J54"/>
    <mergeCell ref="J64:J66"/>
    <mergeCell ref="I58:I60"/>
    <mergeCell ref="I61:I63"/>
    <mergeCell ref="I64:I66"/>
    <mergeCell ref="H55:H57"/>
    <mergeCell ref="I76:I78"/>
    <mergeCell ref="J67:J69"/>
    <mergeCell ref="F67:F69"/>
    <mergeCell ref="H67:H69"/>
    <mergeCell ref="H73:H75"/>
    <mergeCell ref="H58:H60"/>
    <mergeCell ref="J58:J60"/>
    <mergeCell ref="I67:I69"/>
    <mergeCell ref="I70:I72"/>
    <mergeCell ref="I73:I75"/>
    <mergeCell ref="C52:C54"/>
    <mergeCell ref="E79:E81"/>
    <mergeCell ref="F79:F81"/>
    <mergeCell ref="J85:J86"/>
    <mergeCell ref="J61:J63"/>
    <mergeCell ref="J70:J72"/>
    <mergeCell ref="F64:F66"/>
    <mergeCell ref="F61:F63"/>
    <mergeCell ref="J73:J75"/>
    <mergeCell ref="I79:I81"/>
  </mergeCells>
  <hyperlinks>
    <hyperlink ref="N47" r:id="rId1" display="http://portal.minvivienda.local/sobre-el-ministerio/talento-humano"/>
  </hyperlinks>
  <printOptions/>
  <pageMargins left="0.7" right="0.7" top="0.75" bottom="0.75" header="0.3" footer="0.3"/>
  <pageSetup fitToHeight="0" fitToWidth="1" orientation="portrait" scale="3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Isidro Melquicedec Bastidas Yela</dc:creator>
  <cp:keywords/>
  <dc:description/>
  <cp:lastModifiedBy>Nelson Yesid Rodriguez Bernal</cp:lastModifiedBy>
  <cp:lastPrinted>2016-05-02T20:13:05Z</cp:lastPrinted>
  <dcterms:created xsi:type="dcterms:W3CDTF">2015-11-04T19:54:06Z</dcterms:created>
  <dcterms:modified xsi:type="dcterms:W3CDTF">2017-08-04T19:27:44Z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2016</vt:lpwstr>
  </property>
</Properties>
</file>